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430"/>
  <workbookPr defaultThemeVersion="166925"/>
  <mc:AlternateContent xmlns:mc="http://schemas.openxmlformats.org/markup-compatibility/2006">
    <mc:Choice Requires="x15">
      <x15ac:absPath xmlns:x15ac="http://schemas.microsoft.com/office/spreadsheetml/2010/11/ac" url="C:\Users\Sergio\Desktop\Finance\"/>
    </mc:Choice>
  </mc:AlternateContent>
  <xr:revisionPtr revIDLastSave="0" documentId="13_ncr:1_{C5B7DB8E-DE82-43B9-B7AC-2EBE38185D01}" xr6:coauthVersionLast="45" xr6:coauthVersionMax="45" xr10:uidLastSave="{00000000-0000-0000-0000-000000000000}"/>
  <bookViews>
    <workbookView xWindow="-120" yWindow="-120" windowWidth="38640" windowHeight="21240" activeTab="3" xr2:uid="{06BE0C7C-E5A4-4F82-8D60-5829366F594A}"/>
  </bookViews>
  <sheets>
    <sheet name="Scenario Assumptions" sheetId="3" r:id="rId1"/>
    <sheet name="Financial Statements" sheetId="1" r:id="rId2"/>
    <sheet name="Depreciation Waterfall" sheetId="4" r:id="rId3"/>
    <sheet name="DCF" sheetId="5" r:id="rId4"/>
  </sheets>
  <calcPr calcId="191029" calcMode="autoNoTable" iterate="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93" i="5" l="1"/>
  <c r="B2" i="1" l="1"/>
  <c r="C112" i="5" l="1"/>
  <c r="C113" i="5" s="1"/>
  <c r="C110" i="5"/>
  <c r="C109" i="5" s="1"/>
  <c r="C103" i="5"/>
  <c r="C104" i="5" s="1"/>
  <c r="C101" i="5"/>
  <c r="C100" i="5" s="1"/>
  <c r="C5" i="5"/>
  <c r="I134" i="5" l="1"/>
  <c r="I129" i="5"/>
  <c r="I128" i="5"/>
  <c r="E144" i="5"/>
  <c r="C144" i="5"/>
  <c r="E143" i="5"/>
  <c r="C143" i="5"/>
  <c r="D145" i="5"/>
  <c r="C122" i="5"/>
  <c r="C121" i="5"/>
  <c r="C118" i="5"/>
  <c r="C119" i="5"/>
  <c r="F117" i="5"/>
  <c r="E117" i="5" s="1"/>
  <c r="D117" i="5" s="1"/>
  <c r="H117" i="5"/>
  <c r="E108" i="5"/>
  <c r="D108" i="5" s="1"/>
  <c r="G108" i="5"/>
  <c r="H108" i="5" s="1"/>
  <c r="E99" i="5"/>
  <c r="D99" i="5" s="1"/>
  <c r="G99" i="5"/>
  <c r="H99" i="5" s="1"/>
  <c r="B143" i="5" l="1"/>
  <c r="B144" i="5"/>
  <c r="D144" i="5"/>
  <c r="D143" i="5"/>
  <c r="C88" i="5"/>
  <c r="D70" i="5"/>
  <c r="C70" i="5"/>
  <c r="D9" i="5" l="1"/>
  <c r="C9" i="5" s="1"/>
  <c r="F9" i="5"/>
  <c r="G9" i="5" s="1"/>
  <c r="H9" i="5" s="1"/>
  <c r="I9" i="5" s="1"/>
  <c r="J9" i="5" s="1"/>
  <c r="C55" i="5" l="1"/>
  <c r="C53" i="5"/>
  <c r="D69" i="5" l="1"/>
  <c r="C69" i="5"/>
  <c r="C92" i="5"/>
  <c r="F14" i="5"/>
  <c r="G14" i="5"/>
  <c r="H14" i="5"/>
  <c r="I14" i="5"/>
  <c r="J14" i="5"/>
  <c r="C81" i="5" s="1"/>
  <c r="C82" i="5" s="1"/>
  <c r="C6" i="5"/>
  <c r="H33" i="5" l="1"/>
  <c r="F33" i="5"/>
  <c r="I33" i="5"/>
  <c r="J33" i="5"/>
  <c r="G33" i="5"/>
  <c r="C58" i="5"/>
  <c r="G11" i="4"/>
  <c r="H11" i="4"/>
  <c r="I11" i="4"/>
  <c r="J11" i="4"/>
  <c r="F11" i="4"/>
  <c r="E17" i="4"/>
  <c r="B28" i="4"/>
  <c r="B27" i="4"/>
  <c r="B26" i="4"/>
  <c r="B25" i="4"/>
  <c r="B24" i="4"/>
  <c r="E10" i="4"/>
  <c r="D10" i="4"/>
  <c r="E12" i="4"/>
  <c r="D12" i="4"/>
  <c r="E9" i="4"/>
  <c r="D9" i="4"/>
  <c r="E13" i="4" l="1"/>
  <c r="E11" i="4"/>
  <c r="D11" i="4"/>
  <c r="D13" i="4"/>
  <c r="C59" i="5"/>
  <c r="C60" i="5" s="1"/>
  <c r="C61" i="5" s="1"/>
  <c r="C63" i="5" s="1"/>
  <c r="I131" i="5" s="1"/>
  <c r="I132" i="5" s="1"/>
  <c r="G7" i="3"/>
  <c r="J41" i="1" s="1"/>
  <c r="F7" i="3"/>
  <c r="I41" i="1" s="1"/>
  <c r="E7" i="3"/>
  <c r="H41" i="1" s="1"/>
  <c r="D7" i="3"/>
  <c r="G41" i="1" s="1"/>
  <c r="C7" i="3"/>
  <c r="F41" i="1" s="1"/>
  <c r="G6" i="3"/>
  <c r="J40" i="1" s="1"/>
  <c r="F6" i="3"/>
  <c r="I40" i="1" s="1"/>
  <c r="E6" i="3"/>
  <c r="H40" i="1" s="1"/>
  <c r="D6" i="3"/>
  <c r="G40" i="1" s="1"/>
  <c r="C6" i="3"/>
  <c r="F40" i="1" s="1"/>
  <c r="G5" i="3"/>
  <c r="J39" i="1" s="1"/>
  <c r="F5" i="3"/>
  <c r="I39" i="1" s="1"/>
  <c r="E5" i="3"/>
  <c r="H39" i="1" s="1"/>
  <c r="D5" i="3"/>
  <c r="G39" i="1" s="1"/>
  <c r="C5" i="3"/>
  <c r="F39" i="1" s="1"/>
  <c r="G4" i="3"/>
  <c r="J38" i="1" s="1"/>
  <c r="F4" i="3"/>
  <c r="I38" i="1" s="1"/>
  <c r="E4" i="3"/>
  <c r="H38" i="1" s="1"/>
  <c r="D4" i="3"/>
  <c r="G38" i="1" s="1"/>
  <c r="C4" i="3"/>
  <c r="F38" i="1" s="1"/>
  <c r="C73" i="5" l="1"/>
  <c r="D73" i="5"/>
  <c r="C91" i="5"/>
  <c r="D92" i="5" s="1"/>
  <c r="J177" i="1"/>
  <c r="I177" i="1"/>
  <c r="H177" i="1"/>
  <c r="G177" i="1"/>
  <c r="F177" i="1"/>
  <c r="G260" i="1"/>
  <c r="F254" i="1"/>
  <c r="E249" i="1"/>
  <c r="D249" i="1"/>
  <c r="E246" i="1"/>
  <c r="F244" i="1" s="1"/>
  <c r="D246" i="1"/>
  <c r="J154" i="1"/>
  <c r="I154" i="1"/>
  <c r="H154" i="1"/>
  <c r="G154" i="1"/>
  <c r="F154" i="1"/>
  <c r="F234" i="1"/>
  <c r="F236" i="1" s="1"/>
  <c r="E228" i="1"/>
  <c r="F226" i="1" s="1"/>
  <c r="D228" i="1"/>
  <c r="G218" i="1"/>
  <c r="H218" i="1"/>
  <c r="I218" i="1"/>
  <c r="J218" i="1"/>
  <c r="F218" i="1"/>
  <c r="G214" i="1"/>
  <c r="H214" i="1"/>
  <c r="I214" i="1"/>
  <c r="J214" i="1"/>
  <c r="F214" i="1"/>
  <c r="G207" i="1"/>
  <c r="G25" i="5" s="1"/>
  <c r="H207" i="1"/>
  <c r="H25" i="5" s="1"/>
  <c r="I207" i="1"/>
  <c r="I25" i="5" s="1"/>
  <c r="J207" i="1"/>
  <c r="J25" i="5" s="1"/>
  <c r="F207" i="1"/>
  <c r="F25" i="5" s="1"/>
  <c r="J206" i="1"/>
  <c r="J24" i="5" s="1"/>
  <c r="I206" i="1"/>
  <c r="I24" i="5" s="1"/>
  <c r="H206" i="1"/>
  <c r="H24" i="5" s="1"/>
  <c r="G206" i="1"/>
  <c r="G24" i="5" s="1"/>
  <c r="F206" i="1"/>
  <c r="F24" i="5" s="1"/>
  <c r="J205" i="1"/>
  <c r="J23" i="5" s="1"/>
  <c r="I205" i="1"/>
  <c r="I23" i="5" s="1"/>
  <c r="H205" i="1"/>
  <c r="H23" i="5" s="1"/>
  <c r="G205" i="1"/>
  <c r="G23" i="5" s="1"/>
  <c r="F205" i="1"/>
  <c r="F23" i="5" s="1"/>
  <c r="D91" i="5" l="1"/>
  <c r="E194" i="1"/>
  <c r="F192" i="1" s="1"/>
  <c r="F194" i="1" s="1"/>
  <c r="D194" i="1"/>
  <c r="E185" i="1"/>
  <c r="F182" i="1" s="1"/>
  <c r="D185" i="1"/>
  <c r="E58" i="1"/>
  <c r="E79" i="1" s="1"/>
  <c r="G174" i="1"/>
  <c r="G217" i="1" s="1"/>
  <c r="H174" i="1"/>
  <c r="H217" i="1" s="1"/>
  <c r="I174" i="1"/>
  <c r="I217" i="1" s="1"/>
  <c r="J174" i="1"/>
  <c r="J217" i="1" s="1"/>
  <c r="F174" i="1"/>
  <c r="F217" i="1" s="1"/>
  <c r="E175" i="1"/>
  <c r="F173" i="1" s="1"/>
  <c r="D175" i="1"/>
  <c r="G164" i="1"/>
  <c r="G216" i="1" s="1"/>
  <c r="H164" i="1"/>
  <c r="H216" i="1" s="1"/>
  <c r="I164" i="1"/>
  <c r="I216" i="1" s="1"/>
  <c r="J164" i="1"/>
  <c r="J216" i="1" s="1"/>
  <c r="F164" i="1"/>
  <c r="F216" i="1" s="1"/>
  <c r="E169" i="1"/>
  <c r="E170" i="1" s="1"/>
  <c r="D169" i="1"/>
  <c r="D170" i="1" s="1"/>
  <c r="E166" i="1"/>
  <c r="F163" i="1" s="1"/>
  <c r="D166" i="1"/>
  <c r="G158" i="1"/>
  <c r="H158" i="1"/>
  <c r="I158" i="1"/>
  <c r="J158" i="1"/>
  <c r="F158" i="1"/>
  <c r="F151" i="1" s="1"/>
  <c r="F208" i="1" s="1"/>
  <c r="E144" i="1"/>
  <c r="F142" i="1" s="1"/>
  <c r="E139" i="1"/>
  <c r="F137" i="1" s="1"/>
  <c r="D139" i="1"/>
  <c r="E134" i="1"/>
  <c r="F132" i="1" s="1"/>
  <c r="D134" i="1"/>
  <c r="E127" i="1"/>
  <c r="D127" i="1"/>
  <c r="E125" i="1"/>
  <c r="D125" i="1"/>
  <c r="E122" i="1"/>
  <c r="D122" i="1"/>
  <c r="D7" i="4" s="1"/>
  <c r="D18" i="4" s="1"/>
  <c r="D19" i="4" s="1"/>
  <c r="F108" i="1"/>
  <c r="G108" i="1"/>
  <c r="H108" i="1"/>
  <c r="I108" i="1"/>
  <c r="J108" i="1"/>
  <c r="E105" i="1"/>
  <c r="F103" i="1" s="1"/>
  <c r="D105" i="1"/>
  <c r="D107" i="1" s="1"/>
  <c r="D108" i="1" s="1"/>
  <c r="E97" i="1"/>
  <c r="E99" i="1" s="1"/>
  <c r="D97" i="1"/>
  <c r="D99" i="1" s="1"/>
  <c r="F92" i="1"/>
  <c r="G92" i="1"/>
  <c r="H92" i="1"/>
  <c r="I92" i="1"/>
  <c r="J92" i="1"/>
  <c r="E89" i="1"/>
  <c r="E91" i="1" s="1"/>
  <c r="E92" i="1" s="1"/>
  <c r="D89" i="1"/>
  <c r="D91" i="1" s="1"/>
  <c r="D92" i="1" s="1"/>
  <c r="E73" i="1"/>
  <c r="D73" i="1"/>
  <c r="D144" i="1"/>
  <c r="E113" i="1"/>
  <c r="E78" i="1"/>
  <c r="D78" i="1"/>
  <c r="D58" i="1"/>
  <c r="F24" i="1"/>
  <c r="G24" i="1" s="1"/>
  <c r="H24" i="1" s="1"/>
  <c r="I24" i="1" s="1"/>
  <c r="J24" i="1" s="1"/>
  <c r="F14" i="1"/>
  <c r="E41" i="1"/>
  <c r="D41" i="1"/>
  <c r="C41" i="1"/>
  <c r="E40" i="1"/>
  <c r="D40" i="1"/>
  <c r="C40" i="1"/>
  <c r="E38" i="1"/>
  <c r="D38" i="1"/>
  <c r="E32" i="1"/>
  <c r="D32" i="1"/>
  <c r="C32" i="1"/>
  <c r="C31" i="1" s="1"/>
  <c r="E16" i="1"/>
  <c r="E20" i="1" s="1"/>
  <c r="D16" i="1"/>
  <c r="D20" i="1" s="1"/>
  <c r="D13" i="5" s="1"/>
  <c r="C16" i="1"/>
  <c r="C20" i="1" s="1"/>
  <c r="C25" i="1" l="1"/>
  <c r="C42" i="1" s="1"/>
  <c r="C14" i="5" s="1"/>
  <c r="C13" i="5"/>
  <c r="F119" i="1"/>
  <c r="E7" i="4"/>
  <c r="I127" i="5"/>
  <c r="I130" i="5" s="1"/>
  <c r="I133" i="5" s="1"/>
  <c r="E13" i="5"/>
  <c r="C8" i="5"/>
  <c r="F16" i="1"/>
  <c r="F15" i="1" s="1"/>
  <c r="F9" i="4"/>
  <c r="F10" i="4" s="1"/>
  <c r="D25" i="1"/>
  <c r="D42" i="1" s="1"/>
  <c r="D14" i="5" s="1"/>
  <c r="D15" i="5" s="1"/>
  <c r="D79" i="1"/>
  <c r="E47" i="1"/>
  <c r="E12" i="5" s="1"/>
  <c r="E25" i="1"/>
  <c r="E42" i="1" s="1"/>
  <c r="E14" i="5" s="1"/>
  <c r="F105" i="1"/>
  <c r="F104" i="1" s="1"/>
  <c r="F203" i="1" s="1"/>
  <c r="F21" i="5" s="1"/>
  <c r="G151" i="1"/>
  <c r="G208" i="1" s="1"/>
  <c r="H151" i="1"/>
  <c r="H208" i="1" s="1"/>
  <c r="I151" i="1"/>
  <c r="I208" i="1" s="1"/>
  <c r="J151" i="1"/>
  <c r="J208" i="1" s="1"/>
  <c r="F95" i="1"/>
  <c r="D152" i="1"/>
  <c r="D100" i="1"/>
  <c r="F87" i="1"/>
  <c r="E100" i="1"/>
  <c r="D66" i="1"/>
  <c r="D75" i="1" s="1"/>
  <c r="E115" i="1"/>
  <c r="F111" i="1"/>
  <c r="F72" i="1"/>
  <c r="G192" i="1"/>
  <c r="G194" i="1" s="1"/>
  <c r="F89" i="1"/>
  <c r="F53" i="1" s="1"/>
  <c r="E107" i="1"/>
  <c r="E108" i="1" s="1"/>
  <c r="F175" i="1"/>
  <c r="E66" i="1"/>
  <c r="E75" i="1" s="1"/>
  <c r="F124" i="1"/>
  <c r="E152" i="1"/>
  <c r="F149" i="1" s="1"/>
  <c r="F152" i="1" s="1"/>
  <c r="D113" i="1"/>
  <c r="D115" i="1" s="1"/>
  <c r="G14" i="1"/>
  <c r="F18" i="1"/>
  <c r="F19" i="1"/>
  <c r="C39" i="1"/>
  <c r="D39" i="1"/>
  <c r="D47" i="1"/>
  <c r="D12" i="5" s="1"/>
  <c r="C47" i="1"/>
  <c r="C12" i="5" s="1"/>
  <c r="E39" i="1"/>
  <c r="E31" i="1"/>
  <c r="D31" i="1"/>
  <c r="C28" i="1" l="1"/>
  <c r="C35" i="1" s="1"/>
  <c r="E15" i="5"/>
  <c r="F4" i="4"/>
  <c r="E18" i="4"/>
  <c r="E19" i="4" s="1"/>
  <c r="C15" i="5"/>
  <c r="D28" i="1"/>
  <c r="D81" i="1" s="1"/>
  <c r="G24" i="4"/>
  <c r="H24" i="4"/>
  <c r="I24" i="4"/>
  <c r="J24" i="4"/>
  <c r="F24" i="4"/>
  <c r="F5" i="4"/>
  <c r="G16" i="1"/>
  <c r="G15" i="1" s="1"/>
  <c r="G97" i="1" s="1"/>
  <c r="G9" i="4"/>
  <c r="G10" i="4" s="1"/>
  <c r="F61" i="1"/>
  <c r="G103" i="1"/>
  <c r="G18" i="1"/>
  <c r="G19" i="1"/>
  <c r="F155" i="1"/>
  <c r="G72" i="1"/>
  <c r="H192" i="1"/>
  <c r="H194" i="1" s="1"/>
  <c r="F20" i="1"/>
  <c r="F13" i="5" s="1"/>
  <c r="F15" i="5" s="1"/>
  <c r="F169" i="1"/>
  <c r="G173" i="1"/>
  <c r="G175" i="1" s="1"/>
  <c r="F70" i="1"/>
  <c r="F126" i="1"/>
  <c r="F121" i="1" s="1"/>
  <c r="F120" i="1"/>
  <c r="F211" i="1" s="1"/>
  <c r="F97" i="1"/>
  <c r="H14" i="1"/>
  <c r="H9" i="4" s="1"/>
  <c r="H10" i="4" s="1"/>
  <c r="G124" i="1"/>
  <c r="G89" i="1"/>
  <c r="G53" i="1" s="1"/>
  <c r="G105" i="1"/>
  <c r="G149" i="1"/>
  <c r="G152" i="1" s="1"/>
  <c r="G155" i="1" s="1"/>
  <c r="F64" i="1"/>
  <c r="E28" i="1"/>
  <c r="E35" i="1" s="1"/>
  <c r="C34" i="1" l="1"/>
  <c r="D34" i="1"/>
  <c r="D259" i="1" s="1"/>
  <c r="D187" i="1"/>
  <c r="D188" i="1" s="1"/>
  <c r="G23" i="4"/>
  <c r="H23" i="4"/>
  <c r="F23" i="4"/>
  <c r="F29" i="4" s="1"/>
  <c r="F12" i="4" s="1"/>
  <c r="I23" i="4"/>
  <c r="J23" i="4"/>
  <c r="D80" i="1"/>
  <c r="D82" i="1"/>
  <c r="D35" i="1"/>
  <c r="F212" i="1"/>
  <c r="F28" i="5"/>
  <c r="I26" i="4"/>
  <c r="J26" i="4"/>
  <c r="H26" i="4"/>
  <c r="H25" i="4"/>
  <c r="I25" i="4"/>
  <c r="J25" i="4"/>
  <c r="G25" i="4"/>
  <c r="G5" i="4"/>
  <c r="H5" i="4"/>
  <c r="G20" i="1"/>
  <c r="G13" i="5" s="1"/>
  <c r="G15" i="5" s="1"/>
  <c r="G169" i="1"/>
  <c r="G200" i="1" s="1"/>
  <c r="G18" i="5" s="1"/>
  <c r="F200" i="1"/>
  <c r="F18" i="5" s="1"/>
  <c r="F46" i="1"/>
  <c r="F165" i="1"/>
  <c r="F166" i="1" s="1"/>
  <c r="H103" i="1"/>
  <c r="G104" i="1"/>
  <c r="G203" i="1" s="1"/>
  <c r="G21" i="5" s="1"/>
  <c r="G61" i="1"/>
  <c r="H95" i="1"/>
  <c r="G54" i="1"/>
  <c r="G230" i="1" s="1"/>
  <c r="G95" i="1"/>
  <c r="G96" i="1" s="1"/>
  <c r="G202" i="1" s="1"/>
  <c r="G20" i="5" s="1"/>
  <c r="F54" i="1"/>
  <c r="F230" i="1" s="1"/>
  <c r="F96" i="1"/>
  <c r="F202" i="1" s="1"/>
  <c r="F20" i="5" s="1"/>
  <c r="H173" i="1"/>
  <c r="H175" i="1" s="1"/>
  <c r="G70" i="1"/>
  <c r="G100" i="1"/>
  <c r="E34" i="1"/>
  <c r="E259" i="1" s="1"/>
  <c r="E187" i="1"/>
  <c r="E188" i="1" s="1"/>
  <c r="E82" i="1"/>
  <c r="E80" i="1"/>
  <c r="E81" i="1"/>
  <c r="H149" i="1"/>
  <c r="H152" i="1" s="1"/>
  <c r="H155" i="1" s="1"/>
  <c r="G64" i="1"/>
  <c r="G120" i="1"/>
  <c r="G211" i="1" s="1"/>
  <c r="G126" i="1"/>
  <c r="G121" i="1" s="1"/>
  <c r="F122" i="1"/>
  <c r="I192" i="1"/>
  <c r="I194" i="1" s="1"/>
  <c r="H72" i="1"/>
  <c r="F100" i="1"/>
  <c r="I14" i="1"/>
  <c r="I9" i="4" s="1"/>
  <c r="I10" i="4" s="1"/>
  <c r="J27" i="4" s="1"/>
  <c r="H105" i="1"/>
  <c r="H89" i="1"/>
  <c r="H53" i="1" s="1"/>
  <c r="H124" i="1"/>
  <c r="H16" i="1"/>
  <c r="H15" i="1" s="1"/>
  <c r="H18" i="1"/>
  <c r="H19" i="1"/>
  <c r="G29" i="4" l="1"/>
  <c r="G12" i="4" s="1"/>
  <c r="G212" i="1"/>
  <c r="G28" i="5"/>
  <c r="H29" i="4"/>
  <c r="H12" i="4" s="1"/>
  <c r="F13" i="4"/>
  <c r="F6" i="4"/>
  <c r="F45" i="1" s="1"/>
  <c r="I27" i="4"/>
  <c r="I29" i="4" s="1"/>
  <c r="I5" i="4"/>
  <c r="F260" i="1"/>
  <c r="F261" i="1" s="1"/>
  <c r="E260" i="1"/>
  <c r="G46" i="1"/>
  <c r="G165" i="1"/>
  <c r="I103" i="1"/>
  <c r="H61" i="1"/>
  <c r="J14" i="1"/>
  <c r="I105" i="1"/>
  <c r="I89" i="1"/>
  <c r="I53" i="1" s="1"/>
  <c r="I124" i="1"/>
  <c r="I19" i="1"/>
  <c r="I18" i="1"/>
  <c r="I16" i="1"/>
  <c r="I15" i="1" s="1"/>
  <c r="H169" i="1"/>
  <c r="H20" i="1"/>
  <c r="H13" i="5" s="1"/>
  <c r="H15" i="5" s="1"/>
  <c r="H97" i="1"/>
  <c r="H100" i="1" s="1"/>
  <c r="J192" i="1"/>
  <c r="J194" i="1" s="1"/>
  <c r="J72" i="1" s="1"/>
  <c r="I72" i="1"/>
  <c r="G163" i="1"/>
  <c r="F69" i="1"/>
  <c r="G119" i="1"/>
  <c r="G122" i="1" s="1"/>
  <c r="H104" i="1"/>
  <c r="H203" i="1" s="1"/>
  <c r="H21" i="5" s="1"/>
  <c r="I149" i="1"/>
  <c r="I152" i="1" s="1"/>
  <c r="I155" i="1" s="1"/>
  <c r="H64" i="1"/>
  <c r="H120" i="1"/>
  <c r="H211" i="1" s="1"/>
  <c r="H126" i="1"/>
  <c r="H121" i="1" s="1"/>
  <c r="H70" i="1"/>
  <c r="I173" i="1"/>
  <c r="I175" i="1" s="1"/>
  <c r="G87" i="1"/>
  <c r="G88" i="1" s="1"/>
  <c r="G201" i="1" s="1"/>
  <c r="G19" i="5" s="1"/>
  <c r="F88" i="1"/>
  <c r="F201" i="1" s="1"/>
  <c r="F19" i="5" s="1"/>
  <c r="H87" i="1"/>
  <c r="H88" i="1" s="1"/>
  <c r="H201" i="1" s="1"/>
  <c r="H19" i="5" s="1"/>
  <c r="I87" i="1"/>
  <c r="F113" i="1"/>
  <c r="G113" i="1"/>
  <c r="H113" i="1"/>
  <c r="I113" i="1"/>
  <c r="H212" i="1" l="1"/>
  <c r="H28" i="5"/>
  <c r="F7" i="4"/>
  <c r="F56" i="1" s="1"/>
  <c r="H13" i="4"/>
  <c r="H6" i="4"/>
  <c r="G13" i="4"/>
  <c r="G6" i="4"/>
  <c r="G45" i="1" s="1"/>
  <c r="I12" i="4"/>
  <c r="J113" i="1"/>
  <c r="J62" i="1" s="1"/>
  <c r="J9" i="4"/>
  <c r="J10" i="4" s="1"/>
  <c r="G166" i="1"/>
  <c r="H163" i="1" s="1"/>
  <c r="G261" i="1"/>
  <c r="F256" i="1"/>
  <c r="F255" i="1"/>
  <c r="J87" i="1"/>
  <c r="I88" i="1"/>
  <c r="I201" i="1" s="1"/>
  <c r="I19" i="5" s="1"/>
  <c r="I104" i="1"/>
  <c r="I203" i="1" s="1"/>
  <c r="I21" i="5" s="1"/>
  <c r="I61" i="1"/>
  <c r="J103" i="1"/>
  <c r="I120" i="1"/>
  <c r="I211" i="1" s="1"/>
  <c r="I126" i="1"/>
  <c r="I121" i="1" s="1"/>
  <c r="H119" i="1"/>
  <c r="H122" i="1" s="1"/>
  <c r="J111" i="1"/>
  <c r="I62" i="1"/>
  <c r="H200" i="1"/>
  <c r="H18" i="5" s="1"/>
  <c r="H165" i="1"/>
  <c r="H46" i="1"/>
  <c r="I111" i="1"/>
  <c r="I112" i="1" s="1"/>
  <c r="I204" i="1" s="1"/>
  <c r="I22" i="5" s="1"/>
  <c r="H62" i="1"/>
  <c r="J149" i="1"/>
  <c r="J152" i="1" s="1"/>
  <c r="J64" i="1" s="1"/>
  <c r="I64" i="1"/>
  <c r="J18" i="1"/>
  <c r="J124" i="1"/>
  <c r="J105" i="1"/>
  <c r="J61" i="1" s="1"/>
  <c r="J89" i="1"/>
  <c r="J19" i="1"/>
  <c r="J16" i="1"/>
  <c r="J15" i="1" s="1"/>
  <c r="H111" i="1"/>
  <c r="H112" i="1" s="1"/>
  <c r="H204" i="1" s="1"/>
  <c r="H22" i="5" s="1"/>
  <c r="G62" i="1"/>
  <c r="I97" i="1"/>
  <c r="F112" i="1"/>
  <c r="F204" i="1" s="1"/>
  <c r="F22" i="5" s="1"/>
  <c r="F62" i="1"/>
  <c r="I70" i="1"/>
  <c r="J173" i="1"/>
  <c r="J175" i="1" s="1"/>
  <c r="I95" i="1"/>
  <c r="H54" i="1"/>
  <c r="H230" i="1" s="1"/>
  <c r="H96" i="1"/>
  <c r="H202" i="1" s="1"/>
  <c r="H20" i="5" s="1"/>
  <c r="I169" i="1"/>
  <c r="I20" i="1"/>
  <c r="I13" i="5" s="1"/>
  <c r="I15" i="5" s="1"/>
  <c r="G111" i="1"/>
  <c r="G112" i="1" s="1"/>
  <c r="G204" i="1" s="1"/>
  <c r="G22" i="5" s="1"/>
  <c r="F134" i="1"/>
  <c r="F139" i="1"/>
  <c r="F144" i="1"/>
  <c r="I212" i="1" l="1"/>
  <c r="I28" i="5"/>
  <c r="G4" i="4"/>
  <c r="G7" i="4" s="1"/>
  <c r="H45" i="1"/>
  <c r="H199" i="1" s="1"/>
  <c r="H17" i="5" s="1"/>
  <c r="H26" i="5" s="1"/>
  <c r="H29" i="5" s="1"/>
  <c r="H34" i="5" s="1"/>
  <c r="F199" i="1"/>
  <c r="F17" i="5" s="1"/>
  <c r="F26" i="5" s="1"/>
  <c r="F29" i="5" s="1"/>
  <c r="F34" i="5" s="1"/>
  <c r="F47" i="1"/>
  <c r="F12" i="5" s="1"/>
  <c r="I13" i="4"/>
  <c r="I6" i="4"/>
  <c r="J28" i="4"/>
  <c r="J29" i="4" s="1"/>
  <c r="J5" i="4"/>
  <c r="J112" i="1"/>
  <c r="J204" i="1" s="1"/>
  <c r="J22" i="5" s="1"/>
  <c r="G69" i="1"/>
  <c r="F257" i="1"/>
  <c r="G256" i="1"/>
  <c r="G255" i="1"/>
  <c r="H261" i="1"/>
  <c r="J155" i="1"/>
  <c r="G132" i="1"/>
  <c r="G134" i="1" s="1"/>
  <c r="F55" i="1"/>
  <c r="I119" i="1"/>
  <c r="I122" i="1" s="1"/>
  <c r="J53" i="1"/>
  <c r="J88" i="1"/>
  <c r="J201" i="1" s="1"/>
  <c r="J19" i="5" s="1"/>
  <c r="J95" i="1"/>
  <c r="I54" i="1"/>
  <c r="I230" i="1" s="1"/>
  <c r="I96" i="1"/>
  <c r="I202" i="1" s="1"/>
  <c r="I20" i="5" s="1"/>
  <c r="J104" i="1"/>
  <c r="J203" i="1" s="1"/>
  <c r="J21" i="5" s="1"/>
  <c r="J120" i="1"/>
  <c r="J211" i="1" s="1"/>
  <c r="J126" i="1"/>
  <c r="J121" i="1" s="1"/>
  <c r="J70" i="1"/>
  <c r="J169" i="1"/>
  <c r="J20" i="1"/>
  <c r="J13" i="5" s="1"/>
  <c r="J15" i="5" s="1"/>
  <c r="I200" i="1"/>
  <c r="I18" i="5" s="1"/>
  <c r="I46" i="1"/>
  <c r="I165" i="1"/>
  <c r="J97" i="1"/>
  <c r="J54" i="1" s="1"/>
  <c r="G142" i="1"/>
  <c r="G144" i="1" s="1"/>
  <c r="F65" i="1"/>
  <c r="H166" i="1"/>
  <c r="G137" i="1"/>
  <c r="G139" i="1" s="1"/>
  <c r="F57" i="1"/>
  <c r="I100" i="1"/>
  <c r="J212" i="1" l="1"/>
  <c r="J28" i="5"/>
  <c r="G56" i="1"/>
  <c r="H4" i="4"/>
  <c r="H7" i="4" s="1"/>
  <c r="H56" i="1" s="1"/>
  <c r="H47" i="1"/>
  <c r="H12" i="5" s="1"/>
  <c r="I45" i="1"/>
  <c r="I199" i="1" s="1"/>
  <c r="I17" i="5" s="1"/>
  <c r="I26" i="5" s="1"/>
  <c r="I29" i="5" s="1"/>
  <c r="G199" i="1"/>
  <c r="G17" i="5" s="1"/>
  <c r="G26" i="5" s="1"/>
  <c r="G29" i="5" s="1"/>
  <c r="G47" i="1"/>
  <c r="G12" i="5" s="1"/>
  <c r="J12" i="4"/>
  <c r="I261" i="1"/>
  <c r="H255" i="1"/>
  <c r="H256" i="1"/>
  <c r="G254" i="1"/>
  <c r="F30" i="1"/>
  <c r="F32" i="1" s="1"/>
  <c r="J230" i="1"/>
  <c r="I163" i="1"/>
  <c r="I166" i="1" s="1"/>
  <c r="H69" i="1"/>
  <c r="J100" i="1"/>
  <c r="H137" i="1"/>
  <c r="H139" i="1" s="1"/>
  <c r="G57" i="1"/>
  <c r="J119" i="1"/>
  <c r="J122" i="1" s="1"/>
  <c r="G65" i="1"/>
  <c r="H142" i="1"/>
  <c r="H144" i="1" s="1"/>
  <c r="J96" i="1"/>
  <c r="J202" i="1" s="1"/>
  <c r="J20" i="5" s="1"/>
  <c r="J200" i="1"/>
  <c r="J18" i="5" s="1"/>
  <c r="J46" i="1"/>
  <c r="J165" i="1"/>
  <c r="H132" i="1"/>
  <c r="H134" i="1" s="1"/>
  <c r="G55" i="1"/>
  <c r="I31" i="5" l="1"/>
  <c r="I34" i="5"/>
  <c r="G31" i="5"/>
  <c r="G34" i="5"/>
  <c r="H31" i="5"/>
  <c r="I4" i="4"/>
  <c r="I7" i="4" s="1"/>
  <c r="I56" i="1" s="1"/>
  <c r="I47" i="1"/>
  <c r="I12" i="5" s="1"/>
  <c r="J13" i="4"/>
  <c r="J6" i="4"/>
  <c r="J45" i="1" s="1"/>
  <c r="G257" i="1"/>
  <c r="H254" i="1" s="1"/>
  <c r="I255" i="1"/>
  <c r="J261" i="1"/>
  <c r="I256" i="1"/>
  <c r="I137" i="1"/>
  <c r="I139" i="1" s="1"/>
  <c r="H57" i="1"/>
  <c r="I132" i="1"/>
  <c r="I134" i="1" s="1"/>
  <c r="H55" i="1"/>
  <c r="J163" i="1"/>
  <c r="J166" i="1" s="1"/>
  <c r="J69" i="1" s="1"/>
  <c r="I69" i="1"/>
  <c r="I142" i="1"/>
  <c r="I144" i="1" s="1"/>
  <c r="H65" i="1"/>
  <c r="J4" i="4" l="1"/>
  <c r="J7" i="4" s="1"/>
  <c r="J56" i="1" s="1"/>
  <c r="H257" i="1"/>
  <c r="I254" i="1" s="1"/>
  <c r="J256" i="1"/>
  <c r="J255" i="1"/>
  <c r="G30" i="1"/>
  <c r="G32" i="1" s="1"/>
  <c r="J142" i="1"/>
  <c r="J144" i="1" s="1"/>
  <c r="J65" i="1" s="1"/>
  <c r="I65" i="1"/>
  <c r="J132" i="1"/>
  <c r="J134" i="1" s="1"/>
  <c r="J55" i="1" s="1"/>
  <c r="I55" i="1"/>
  <c r="J137" i="1"/>
  <c r="J139" i="1" s="1"/>
  <c r="J57" i="1" s="1"/>
  <c r="I57" i="1"/>
  <c r="J199" i="1" l="1"/>
  <c r="J17" i="5" s="1"/>
  <c r="J26" i="5" s="1"/>
  <c r="J29" i="5" s="1"/>
  <c r="J47" i="1"/>
  <c r="J12" i="5" s="1"/>
  <c r="I257" i="1"/>
  <c r="J254" i="1" s="1"/>
  <c r="H30" i="1"/>
  <c r="H32" i="1" s="1"/>
  <c r="H39" i="5" l="1"/>
  <c r="H41" i="5" s="1"/>
  <c r="C39" i="5"/>
  <c r="C40" i="5" s="1"/>
  <c r="C42" i="5" s="1"/>
  <c r="C43" i="5" s="1"/>
  <c r="J31" i="5"/>
  <c r="J34" i="5"/>
  <c r="J257" i="1"/>
  <c r="J30" i="1" s="1"/>
  <c r="J32" i="1" s="1"/>
  <c r="I30" i="1"/>
  <c r="I32" i="1" s="1"/>
  <c r="H42" i="5" l="1"/>
  <c r="H45" i="5"/>
  <c r="C46" i="5"/>
  <c r="C44" i="5"/>
  <c r="C45" i="5" s="1"/>
  <c r="C68" i="5" s="1"/>
  <c r="C71" i="5" s="1"/>
  <c r="C74" i="5" s="1"/>
  <c r="H43" i="5"/>
  <c r="H44" i="5" l="1"/>
  <c r="D68" i="5" s="1"/>
  <c r="D71" i="5" s="1"/>
  <c r="D74" i="5" s="1"/>
  <c r="C117" i="5" s="1"/>
  <c r="C75" i="5"/>
  <c r="C99" i="5"/>
  <c r="D75" i="5" l="1"/>
  <c r="C108" i="5"/>
  <c r="F22" i="1" l="1"/>
  <c r="G22" i="1"/>
  <c r="H22" i="1"/>
  <c r="I22" i="1"/>
  <c r="J22" i="1"/>
  <c r="F23" i="1"/>
  <c r="G23" i="1"/>
  <c r="H23" i="1"/>
  <c r="I23" i="1"/>
  <c r="J23" i="1"/>
  <c r="F25" i="1"/>
  <c r="G25" i="1"/>
  <c r="H25" i="1"/>
  <c r="I25" i="1"/>
  <c r="J25" i="1"/>
  <c r="F27" i="1"/>
  <c r="G27" i="1"/>
  <c r="H27" i="1"/>
  <c r="I27" i="1"/>
  <c r="J27" i="1"/>
  <c r="F28" i="1"/>
  <c r="G28" i="1"/>
  <c r="H28" i="1"/>
  <c r="I28" i="1"/>
  <c r="J28" i="1"/>
  <c r="F34" i="1"/>
  <c r="G34" i="1"/>
  <c r="H34" i="1"/>
  <c r="I34" i="1"/>
  <c r="J34" i="1"/>
  <c r="F35" i="1"/>
  <c r="G35" i="1"/>
  <c r="H35" i="1"/>
  <c r="I35" i="1"/>
  <c r="J35" i="1"/>
  <c r="F52" i="1"/>
  <c r="G52" i="1"/>
  <c r="H52" i="1"/>
  <c r="I52" i="1"/>
  <c r="J52" i="1"/>
  <c r="F58" i="1"/>
  <c r="G58" i="1"/>
  <c r="H58" i="1"/>
  <c r="I58" i="1"/>
  <c r="J58" i="1"/>
  <c r="F63" i="1"/>
  <c r="G63" i="1"/>
  <c r="H63" i="1"/>
  <c r="I63" i="1"/>
  <c r="J63" i="1"/>
  <c r="F66" i="1"/>
  <c r="G66" i="1"/>
  <c r="H66" i="1"/>
  <c r="I66" i="1"/>
  <c r="J66" i="1"/>
  <c r="F71" i="1"/>
  <c r="G71" i="1"/>
  <c r="H71" i="1"/>
  <c r="I71" i="1"/>
  <c r="J71" i="1"/>
  <c r="F73" i="1"/>
  <c r="G73" i="1"/>
  <c r="H73" i="1"/>
  <c r="I73" i="1"/>
  <c r="J73" i="1"/>
  <c r="F75" i="1"/>
  <c r="G75" i="1"/>
  <c r="H75" i="1"/>
  <c r="I75" i="1"/>
  <c r="J75" i="1"/>
  <c r="F78" i="1"/>
  <c r="G78" i="1"/>
  <c r="H78" i="1"/>
  <c r="I78" i="1"/>
  <c r="J78" i="1"/>
  <c r="F79" i="1"/>
  <c r="G79" i="1"/>
  <c r="H79" i="1"/>
  <c r="I79" i="1"/>
  <c r="J79" i="1"/>
  <c r="F80" i="1"/>
  <c r="G80" i="1"/>
  <c r="H80" i="1"/>
  <c r="I80" i="1"/>
  <c r="J80" i="1"/>
  <c r="F81" i="1"/>
  <c r="G81" i="1"/>
  <c r="H81" i="1"/>
  <c r="I81" i="1"/>
  <c r="J81" i="1"/>
  <c r="F82" i="1"/>
  <c r="G82" i="1"/>
  <c r="H82" i="1"/>
  <c r="I82" i="1"/>
  <c r="J82" i="1"/>
  <c r="G182" i="1"/>
  <c r="H182" i="1"/>
  <c r="I182" i="1"/>
  <c r="J182" i="1"/>
  <c r="F183" i="1"/>
  <c r="G183" i="1"/>
  <c r="H183" i="1"/>
  <c r="I183" i="1"/>
  <c r="J183" i="1"/>
  <c r="F184" i="1"/>
  <c r="G184" i="1"/>
  <c r="H184" i="1"/>
  <c r="I184" i="1"/>
  <c r="J184" i="1"/>
  <c r="F185" i="1"/>
  <c r="G185" i="1"/>
  <c r="H185" i="1"/>
  <c r="I185" i="1"/>
  <c r="J185" i="1"/>
  <c r="F187" i="1"/>
  <c r="G187" i="1"/>
  <c r="H187" i="1"/>
  <c r="I187" i="1"/>
  <c r="J187" i="1"/>
  <c r="F189" i="1"/>
  <c r="G189" i="1"/>
  <c r="H189" i="1"/>
  <c r="I189" i="1"/>
  <c r="J189" i="1"/>
  <c r="F198" i="1"/>
  <c r="G198" i="1"/>
  <c r="H198" i="1"/>
  <c r="I198" i="1"/>
  <c r="J198" i="1"/>
  <c r="F209" i="1"/>
  <c r="G209" i="1"/>
  <c r="H209" i="1"/>
  <c r="I209" i="1"/>
  <c r="J209" i="1"/>
  <c r="F215" i="1"/>
  <c r="G215" i="1"/>
  <c r="H215" i="1"/>
  <c r="I215" i="1"/>
  <c r="J215" i="1"/>
  <c r="F219" i="1"/>
  <c r="G219" i="1"/>
  <c r="H219" i="1"/>
  <c r="I219" i="1"/>
  <c r="J219" i="1"/>
  <c r="F220" i="1"/>
  <c r="G220" i="1"/>
  <c r="H220" i="1"/>
  <c r="I220" i="1"/>
  <c r="J220" i="1"/>
  <c r="F222" i="1"/>
  <c r="G222" i="1"/>
  <c r="H222" i="1"/>
  <c r="I222" i="1"/>
  <c r="J222" i="1"/>
  <c r="G226" i="1"/>
  <c r="H226" i="1"/>
  <c r="I226" i="1"/>
  <c r="J226" i="1"/>
  <c r="F227" i="1"/>
  <c r="G227" i="1"/>
  <c r="H227" i="1"/>
  <c r="I227" i="1"/>
  <c r="J227" i="1"/>
  <c r="F228" i="1"/>
  <c r="G228" i="1"/>
  <c r="H228" i="1"/>
  <c r="I228" i="1"/>
  <c r="J228" i="1"/>
  <c r="F231" i="1"/>
  <c r="G231" i="1"/>
  <c r="H231" i="1"/>
  <c r="I231" i="1"/>
  <c r="J231" i="1"/>
  <c r="G234" i="1"/>
  <c r="H234" i="1"/>
  <c r="I234" i="1"/>
  <c r="J234" i="1"/>
  <c r="G236" i="1"/>
  <c r="H236" i="1"/>
  <c r="I236" i="1"/>
  <c r="J236" i="1"/>
  <c r="F237" i="1"/>
  <c r="G237" i="1"/>
  <c r="H237" i="1"/>
  <c r="I237" i="1"/>
  <c r="J237" i="1"/>
  <c r="F238" i="1"/>
  <c r="G238" i="1"/>
  <c r="H238" i="1"/>
  <c r="I238" i="1"/>
  <c r="J238" i="1"/>
  <c r="F241" i="1"/>
  <c r="G241" i="1"/>
  <c r="H241" i="1"/>
  <c r="I241" i="1"/>
  <c r="J241" i="1"/>
  <c r="G244" i="1"/>
  <c r="H244" i="1"/>
  <c r="I244" i="1"/>
  <c r="J244" i="1"/>
  <c r="F245" i="1"/>
  <c r="G245" i="1"/>
  <c r="H245" i="1"/>
  <c r="I245" i="1"/>
  <c r="J245" i="1"/>
  <c r="F246" i="1"/>
  <c r="G246" i="1"/>
  <c r="H246" i="1"/>
  <c r="I246" i="1"/>
  <c r="J246" i="1"/>
  <c r="F249" i="1"/>
  <c r="G249" i="1"/>
  <c r="H249" i="1"/>
  <c r="I249" i="1"/>
  <c r="J249" i="1"/>
  <c r="C26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Wall Street Prep</author>
    <author>Sergio</author>
  </authors>
  <commentList>
    <comment ref="C10" authorId="0" shapeId="0" xr:uid="{C34FF6A1-EAB6-4AFD-B27D-642B0415DF6E}">
      <text>
        <r>
          <rPr>
            <b/>
            <sz val="9"/>
            <color indexed="81"/>
            <rFont val="Tahoma"/>
            <family val="2"/>
          </rPr>
          <t>Wall Street Prep:</t>
        </r>
        <r>
          <rPr>
            <sz val="9"/>
            <color indexed="81"/>
            <rFont val="Tahoma"/>
            <family val="2"/>
          </rPr>
          <t xml:space="preserve">
If the model "blows up" (i.e. REF and DIV/0 everywhere), turn the circuit breaker above on, and then immediately off again. 
</t>
        </r>
        <r>
          <rPr>
            <b/>
            <sz val="9"/>
            <color indexed="81"/>
            <rFont val="Tahoma"/>
            <family val="2"/>
          </rPr>
          <t xml:space="preserve">Why do we need this?
</t>
        </r>
        <r>
          <rPr>
            <sz val="9"/>
            <color indexed="81"/>
            <rFont val="Tahoma"/>
            <family val="2"/>
          </rPr>
          <t xml:space="preserve">This model has an intentional circularity in the calculation of interest expense and interest income. 
Interest expense is calculated as interest rate times average current and prior period revolver debt balances. Since current period revolver balance is itself impacted by current period interest expense, the circularity exists.
The same logic applies to interest expense.
</t>
        </r>
        <r>
          <rPr>
            <b/>
            <sz val="9"/>
            <color indexed="81"/>
            <rFont val="Tahoma"/>
            <family val="2"/>
          </rPr>
          <t xml:space="preserve">Setting Iterations in Excel
</t>
        </r>
        <r>
          <rPr>
            <sz val="9"/>
            <color indexed="81"/>
            <rFont val="Tahoma"/>
            <family val="2"/>
          </rPr>
          <t xml:space="preserve">Make sure that iterations are selected under Excel Options &gt; Formulas
</t>
        </r>
        <r>
          <rPr>
            <b/>
            <sz val="9"/>
            <color indexed="81"/>
            <rFont val="Tahoma"/>
            <family val="2"/>
          </rPr>
          <t>Removing circularity altogether</t>
        </r>
        <r>
          <rPr>
            <sz val="9"/>
            <color indexed="81"/>
            <rFont val="Tahoma"/>
            <family val="2"/>
          </rPr>
          <t xml:space="preserve">
To avoid a circularity altogether, calculate interest expense using prior period debt balances (as opposed to average balances).</t>
        </r>
      </text>
    </comment>
    <comment ref="E261" authorId="1" shapeId="0" xr:uid="{427AC8FC-01F0-4792-8396-E8A41FE2BE60}">
      <text>
        <r>
          <rPr>
            <b/>
            <sz val="9"/>
            <color indexed="81"/>
            <rFont val="Tahoma"/>
            <family val="2"/>
          </rPr>
          <t>Sergio:</t>
        </r>
        <r>
          <rPr>
            <sz val="9"/>
            <color indexed="81"/>
            <rFont val="Tahoma"/>
            <family val="2"/>
          </rPr>
          <t xml:space="preserve">
Used last closing price to get started
</t>
        </r>
      </text>
    </comment>
  </commentList>
</comments>
</file>

<file path=xl/sharedStrings.xml><?xml version="1.0" encoding="utf-8"?>
<sst xmlns="http://schemas.openxmlformats.org/spreadsheetml/2006/main" count="372" uniqueCount="249">
  <si>
    <t>Company name</t>
  </si>
  <si>
    <t>Apple</t>
  </si>
  <si>
    <t>Ticker</t>
  </si>
  <si>
    <t>AAPL</t>
  </si>
  <si>
    <t>Share price as of last close</t>
  </si>
  <si>
    <t>Latest closing share price date</t>
  </si>
  <si>
    <t>Latest fiscal year end date</t>
  </si>
  <si>
    <t>Circuit breaker:</t>
  </si>
  <si>
    <t>OFF</t>
  </si>
  <si>
    <t>INCOME STATEMENT</t>
  </si>
  <si>
    <t>Historical</t>
  </si>
  <si>
    <t>Forecast</t>
  </si>
  <si>
    <t>Revenue</t>
  </si>
  <si>
    <t>Cost of sales (enter as -)</t>
  </si>
  <si>
    <t>Gross Profit</t>
  </si>
  <si>
    <t>Research &amp; development (enter as -)</t>
  </si>
  <si>
    <t>Operating Profit (EBIT)</t>
  </si>
  <si>
    <t>Interest income</t>
  </si>
  <si>
    <t>Interest expense (enter as -)</t>
  </si>
  <si>
    <t>Other expense (enter as -)</t>
  </si>
  <si>
    <t>Pre-Tax Profit</t>
  </si>
  <si>
    <t>Taxes (enter expense as -)</t>
  </si>
  <si>
    <t>Net Income</t>
  </si>
  <si>
    <t>Basic shares outstanding</t>
  </si>
  <si>
    <t>Impact of dilutive securities</t>
  </si>
  <si>
    <t>Diluted shares outstanding</t>
  </si>
  <si>
    <t>Basic EPS</t>
  </si>
  <si>
    <t>Diluted EPS</t>
  </si>
  <si>
    <t>Growth Rates &amp; Margins</t>
  </si>
  <si>
    <t>Revenue growth</t>
  </si>
  <si>
    <t>Gross profit as % of sales</t>
  </si>
  <si>
    <t>R&amp;D margin</t>
  </si>
  <si>
    <t>SG&amp;A margin</t>
  </si>
  <si>
    <t>Tax rate</t>
  </si>
  <si>
    <t>EBITDA Reconciliation</t>
  </si>
  <si>
    <t>Depreciation &amp; amortization</t>
  </si>
  <si>
    <t>Stock based compensation</t>
  </si>
  <si>
    <t>EBITDA</t>
  </si>
  <si>
    <t>Selling, general &amp; administrative (enter as -)</t>
  </si>
  <si>
    <t>BALANCE SHEET</t>
  </si>
  <si>
    <t>Cash &amp; equivalents ST &amp; LT mkt securities</t>
  </si>
  <si>
    <t>Accounts receivable</t>
  </si>
  <si>
    <t>Inventory</t>
  </si>
  <si>
    <t>Property plant &amp; equipment</t>
  </si>
  <si>
    <t>Accounts payable</t>
  </si>
  <si>
    <t>Accrued expenses &amp; def rev (current &amp; noncurrent)</t>
  </si>
  <si>
    <t>Revolver</t>
  </si>
  <si>
    <t>Long term debt</t>
  </si>
  <si>
    <t>Common stock/additional paid in capital</t>
  </si>
  <si>
    <t>Tresury stock</t>
  </si>
  <si>
    <t>Retained earnings/accumulated eficit</t>
  </si>
  <si>
    <t>Other comprehensive income/(loss)</t>
  </si>
  <si>
    <t>Balance sheet check</t>
  </si>
  <si>
    <t>Ratios</t>
  </si>
  <si>
    <t>Net debt</t>
  </si>
  <si>
    <t>Asset turnover (Revenue/total assets)</t>
  </si>
  <si>
    <t>Net profit margin</t>
  </si>
  <si>
    <t>Return on assets (ROA)</t>
  </si>
  <si>
    <t>Return on book equity (ROE)</t>
  </si>
  <si>
    <t>Assets</t>
  </si>
  <si>
    <t>Liabilities</t>
  </si>
  <si>
    <t>Shareholders' Equity</t>
  </si>
  <si>
    <t>Other non-current assets</t>
  </si>
  <si>
    <t>Other liabilities (current &amp; non-current)</t>
  </si>
  <si>
    <t>Working Capital</t>
  </si>
  <si>
    <t>Beginning of period</t>
  </si>
  <si>
    <t>Increases/(decreases)</t>
  </si>
  <si>
    <t>End of period</t>
  </si>
  <si>
    <t>AR as % of sales</t>
  </si>
  <si>
    <t>Days sales outstanding (DSO)</t>
  </si>
  <si>
    <t>AP as % of sales</t>
  </si>
  <si>
    <t>Days payables outstanding (DPO)</t>
  </si>
  <si>
    <t>Inventory as % of COGS</t>
  </si>
  <si>
    <t>Inventory turnover</t>
  </si>
  <si>
    <t>Accounts Payable</t>
  </si>
  <si>
    <t>Accounts Receivable</t>
  </si>
  <si>
    <t>Accrued expenses &amp; def revenues as % of sales</t>
  </si>
  <si>
    <t>Accrued Expenses &amp; Def Revenues</t>
  </si>
  <si>
    <t>Property, Plant &amp; Equipment</t>
  </si>
  <si>
    <t>Plus: Capital expenditures</t>
  </si>
  <si>
    <t>Less: Depreciation</t>
  </si>
  <si>
    <t>Capex (enter as +)</t>
  </si>
  <si>
    <t>Capital expenditures as % of revenue</t>
  </si>
  <si>
    <t>Depreciation (enter as -)</t>
  </si>
  <si>
    <t>Depreciation as a % of capital expenditures</t>
  </si>
  <si>
    <t>Total Assets</t>
  </si>
  <si>
    <t>Total Liabilities</t>
  </si>
  <si>
    <t>Total Shareholders' Equity</t>
  </si>
  <si>
    <t>Other Assets/Liabilities &amp; Deferred Taxes</t>
  </si>
  <si>
    <t>Other current assets (incl. non trade receivables)</t>
  </si>
  <si>
    <t>Other current assets (incl. non-trade receivables)</t>
  </si>
  <si>
    <t>Debt</t>
  </si>
  <si>
    <t>Additional borrowing / (pay down)</t>
  </si>
  <si>
    <t>PIK accrual</t>
  </si>
  <si>
    <t>Interest expense on long term debt</t>
  </si>
  <si>
    <t>Weighted average interest rate</t>
  </si>
  <si>
    <t>% of interest expense paid in cash</t>
  </si>
  <si>
    <t>% of interest expense accrues as PIK</t>
  </si>
  <si>
    <t>Capital Stock</t>
  </si>
  <si>
    <t>Common stock / APIC</t>
  </si>
  <si>
    <t>Plus: new share issuances</t>
  </si>
  <si>
    <t>Plus: stock based compensation</t>
  </si>
  <si>
    <t>New share issuance</t>
  </si>
  <si>
    <t>SBC as % of all operating expenses</t>
  </si>
  <si>
    <t>Treasury stock</t>
  </si>
  <si>
    <t>Less: stock repurchases</t>
  </si>
  <si>
    <t>Stock repurchases</t>
  </si>
  <si>
    <t>Retained Earnings &amp; OCI</t>
  </si>
  <si>
    <t>Retained earnings</t>
  </si>
  <si>
    <t>Plus: net income</t>
  </si>
  <si>
    <t>Less: Common dividends</t>
  </si>
  <si>
    <t>Net income</t>
  </si>
  <si>
    <t>Dividend payout ratio</t>
  </si>
  <si>
    <t>Common dividends</t>
  </si>
  <si>
    <t>Plus: income/(loss)</t>
  </si>
  <si>
    <t>Accrued expenses &amp; def revenues</t>
  </si>
  <si>
    <t>Non-cash (PIK) interest</t>
  </si>
  <si>
    <t>Cash from Operating Activities</t>
  </si>
  <si>
    <t>Capital expenditures</t>
  </si>
  <si>
    <t>Cash from Investing Activities</t>
  </si>
  <si>
    <t>New share issuances</t>
  </si>
  <si>
    <t>Share repurchases</t>
  </si>
  <si>
    <t>Cash from Financing Activities</t>
  </si>
  <si>
    <t>Net Change in Cash During Period</t>
  </si>
  <si>
    <t>Revolver &amp; Cash</t>
  </si>
  <si>
    <t>Maximum availability</t>
  </si>
  <si>
    <t>Compliance check</t>
  </si>
  <si>
    <t>Revolver needs analysis</t>
  </si>
  <si>
    <t>Less: minimum cash desired</t>
  </si>
  <si>
    <t>Equals: excess cash at BOP</t>
  </si>
  <si>
    <t>Plus: free cash flows generated during period</t>
  </si>
  <si>
    <t>Equals: cash available (needed) to paydown (draw from) revolver</t>
  </si>
  <si>
    <t>Interest rate on revolver</t>
  </si>
  <si>
    <t>Interest expense</t>
  </si>
  <si>
    <t>Cash</t>
  </si>
  <si>
    <t>+/- additions</t>
  </si>
  <si>
    <t>Interest rate on cash</t>
  </si>
  <si>
    <t>x</t>
  </si>
  <si>
    <t>Shares Outstanding</t>
  </si>
  <si>
    <t>Beginning of new period</t>
  </si>
  <si>
    <t>+ new shares issued</t>
  </si>
  <si>
    <t>- shares repurchased</t>
  </si>
  <si>
    <t>Consensus EPS</t>
  </si>
  <si>
    <t>% change in EPS, y-o-y</t>
  </si>
  <si>
    <t>Average share price</t>
  </si>
  <si>
    <t>2020 EPS Sensitivity Analysis</t>
  </si>
  <si>
    <t>Revenue Growth Rate</t>
  </si>
  <si>
    <t>Gross</t>
  </si>
  <si>
    <t>Profit</t>
  </si>
  <si>
    <t>Margin</t>
  </si>
  <si>
    <t>Operating scenario</t>
  </si>
  <si>
    <t>Revenue Growth</t>
  </si>
  <si>
    <t>Best case</t>
  </si>
  <si>
    <t>Base case</t>
  </si>
  <si>
    <t>Weak case</t>
  </si>
  <si>
    <t>R&amp;D Margin</t>
  </si>
  <si>
    <t>SG&amp;A Margin</t>
  </si>
  <si>
    <t>Scenario Analysis Assumptions</t>
  </si>
  <si>
    <t>Existing PP&amp;E</t>
  </si>
  <si>
    <t>Gross PP&amp;E</t>
  </si>
  <si>
    <t>Non-depreciable PP&amp;E (i.e. land)</t>
  </si>
  <si>
    <t>Accumulated depreciation</t>
  </si>
  <si>
    <t>Net PP&amp;E (excl. land)</t>
  </si>
  <si>
    <t>Average useful life</t>
  </si>
  <si>
    <t>Depreciation from existing PP&amp;E</t>
  </si>
  <si>
    <t>Total depreciation</t>
  </si>
  <si>
    <t>Depreciation Waterfall</t>
  </si>
  <si>
    <t>($) in millions</t>
  </si>
  <si>
    <t>Select case in the "Financial Statements" sheet</t>
  </si>
  <si>
    <t>Discounted Cash Flow</t>
  </si>
  <si>
    <t>Assumptions</t>
  </si>
  <si>
    <t>Latest basic share count</t>
  </si>
  <si>
    <t>Weighted average cost of capital</t>
  </si>
  <si>
    <t>EBIT</t>
  </si>
  <si>
    <t>EBIAT (NOPAT)</t>
  </si>
  <si>
    <t>Unlevered CF from Operations</t>
  </si>
  <si>
    <t>FREE CASH FLOW</t>
  </si>
  <si>
    <t>Less: capex</t>
  </si>
  <si>
    <t>Unlevered FCF</t>
  </si>
  <si>
    <t>% growth</t>
  </si>
  <si>
    <t>Discount factor</t>
  </si>
  <si>
    <t>Present value of unlevered FCF</t>
  </si>
  <si>
    <t>ENTERPRISE VALUE</t>
  </si>
  <si>
    <t>Perpetuity Approach</t>
  </si>
  <si>
    <t>Unlevered FCF in last forecast period (t)</t>
  </si>
  <si>
    <t>FCF t+1</t>
  </si>
  <si>
    <t>Long-term growth rate (g)</t>
  </si>
  <si>
    <t>Terminal value</t>
  </si>
  <si>
    <t>Present value of stage 1 cash flows</t>
  </si>
  <si>
    <t>Enterprise Value</t>
  </si>
  <si>
    <t>Implied TV exit EBITDA multiple</t>
  </si>
  <si>
    <t>Exit EBITDA Multiple Approach</t>
  </si>
  <si>
    <t>Terminal year EBITDA</t>
  </si>
  <si>
    <t>Terminal value EBITDA multiple</t>
  </si>
  <si>
    <t>Present value of terminal value</t>
  </si>
  <si>
    <t>Implied TV perpetual growth rate</t>
  </si>
  <si>
    <t>Net Debt</t>
  </si>
  <si>
    <t>Cash &amp; equivalents ST &amp; LT mkt. securities</t>
  </si>
  <si>
    <t>Long-term debt</t>
  </si>
  <si>
    <t>Trapped cash</t>
  </si>
  <si>
    <t>Net Debt &amp; Options/Warrants</t>
  </si>
  <si>
    <t>Excercisable options</t>
  </si>
  <si>
    <t>Exercise price</t>
  </si>
  <si>
    <t>In-the-money excercisable options</t>
  </si>
  <si>
    <t>Total proceeds</t>
  </si>
  <si>
    <t>Total shares repurchased</t>
  </si>
  <si>
    <t>Net dilutive options</t>
  </si>
  <si>
    <t>Dilutive impact of shares from other securities</t>
  </si>
  <si>
    <t>Net Diluted Shares Outstanding</t>
  </si>
  <si>
    <t>FAIR VALUE PER SHARE</t>
  </si>
  <si>
    <t>Enterprise value</t>
  </si>
  <si>
    <t>Less: net debt</t>
  </si>
  <si>
    <t>Less: trapped cash</t>
  </si>
  <si>
    <t>Equity Value</t>
  </si>
  <si>
    <t>Diluted shares</t>
  </si>
  <si>
    <t>Equity Value per Share</t>
  </si>
  <si>
    <t>Market premium/(discount) to fair value</t>
  </si>
  <si>
    <t>Perpetuity</t>
  </si>
  <si>
    <t>COST OF CAPITAL (WACC)</t>
  </si>
  <si>
    <t>Cost of debt</t>
  </si>
  <si>
    <t>After Tax Cost of Debt</t>
  </si>
  <si>
    <t>Debt Assumptions</t>
  </si>
  <si>
    <t>Equity Assumptions</t>
  </si>
  <si>
    <t>Risk-free rate</t>
  </si>
  <si>
    <t>Beta</t>
  </si>
  <si>
    <t>Market risk premium</t>
  </si>
  <si>
    <t>Cost of Equity</t>
  </si>
  <si>
    <t>Amount</t>
  </si>
  <si>
    <t>% of Total</t>
  </si>
  <si>
    <t>Market value of equity</t>
  </si>
  <si>
    <t>WACC</t>
  </si>
  <si>
    <t>Sensitivity Analysis</t>
  </si>
  <si>
    <t>Long term growth rate (g)</t>
  </si>
  <si>
    <t>Exit EBITDA Multiple</t>
  </si>
  <si>
    <t>EBITDA %</t>
  </si>
  <si>
    <t>52 Week High/Low Market Price</t>
  </si>
  <si>
    <t>Low</t>
  </si>
  <si>
    <t>Difference</t>
  </si>
  <si>
    <t>High</t>
  </si>
  <si>
    <t>Football Field &amp; LTM EBITDA</t>
  </si>
  <si>
    <t>LTM EBITDA Multiple</t>
  </si>
  <si>
    <t>Operating income</t>
  </si>
  <si>
    <t>D&amp;A</t>
  </si>
  <si>
    <t>Stock based comp</t>
  </si>
  <si>
    <t>LTM EBITDA</t>
  </si>
  <si>
    <t>Market cap</t>
  </si>
  <si>
    <t>EV/EBITDA</t>
  </si>
  <si>
    <t>Comps derived EV/EBITDA</t>
  </si>
  <si>
    <t>STATEMENT OF CASH FLOWS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</si>
</sst>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3">
    <numFmt numFmtId="164" formatCode="&quot; &quot;"/>
    <numFmt numFmtId="165" formatCode="&quot;$&quot;#,##0.00_);\(&quot;$&quot;#,##0.00\);@_)"/>
    <numFmt numFmtId="166" formatCode="#,##0.0_);\(#,##0.0\);@_)"/>
    <numFmt numFmtId="167" formatCode="#,##0;\(#,##0\);&quot;–&quot;;@"/>
    <numFmt numFmtId="168" formatCode="#,##0.00;\(#,##0.00\);&quot;–&quot;;@"/>
    <numFmt numFmtId="169" formatCode="#,##0.0%;\(#,##0.0%\);&quot;–&quot;;@"/>
    <numFmt numFmtId="170" formatCode="0.00\x;\(0.00\x\);&quot;–&quot;"/>
    <numFmt numFmtId="171" formatCode="0\ &quot;days&quot;"/>
    <numFmt numFmtId="172" formatCode="_(#,##0.0%_);\(#,##0.0%\);_(&quot;–&quot;_)_%;_(@_)_%"/>
    <numFmt numFmtId="173" formatCode="[$$]#,##0;\([$$]#,##0\);&quot;–&quot;;@"/>
    <numFmt numFmtId="174" formatCode="[$$]#,##0.00;\([$$]#,##0.00\);&quot;–&quot;;@"/>
    <numFmt numFmtId="175" formatCode="0.0\x;\(0.0\x\);&quot;–&quot;"/>
    <numFmt numFmtId="176" formatCode="[$$-380A]\ #,##0.00;\-[$$-380A]\ #,##0.00"/>
  </numFmts>
  <fonts count="20" x14ac:knownFonts="1">
    <font>
      <sz val="11"/>
      <color theme="1"/>
      <name val="Calibri"/>
      <family val="2"/>
      <scheme val="minor"/>
    </font>
    <font>
      <b/>
      <sz val="11"/>
      <color theme="0"/>
      <name val="Calibri"/>
      <family val="2"/>
      <scheme val="minor"/>
    </font>
    <font>
      <b/>
      <sz val="11"/>
      <color theme="1"/>
      <name val="Calibri"/>
      <family val="2"/>
      <scheme val="minor"/>
    </font>
    <font>
      <sz val="11"/>
      <color rgb="FF000000"/>
      <name val="Calibri"/>
      <family val="2"/>
      <scheme val="minor"/>
    </font>
    <font>
      <sz val="11"/>
      <color rgb="FF0000FF"/>
      <name val="Calibri"/>
      <family val="2"/>
      <scheme val="minor"/>
    </font>
    <font>
      <b/>
      <sz val="9"/>
      <color indexed="81"/>
      <name val="Tahoma"/>
      <family val="2"/>
    </font>
    <font>
      <sz val="9"/>
      <color indexed="81"/>
      <name val="Tahoma"/>
      <family val="2"/>
    </font>
    <font>
      <b/>
      <sz val="18"/>
      <color theme="0"/>
      <name val="Calibri"/>
      <family val="2"/>
      <scheme val="minor"/>
    </font>
    <font>
      <b/>
      <sz val="22"/>
      <color theme="0"/>
      <name val="Calibri"/>
      <family val="2"/>
      <scheme val="minor"/>
    </font>
    <font>
      <sz val="12"/>
      <color theme="1"/>
      <name val="Calibri"/>
      <family val="2"/>
      <scheme val="minor"/>
    </font>
    <font>
      <b/>
      <sz val="12"/>
      <color theme="1"/>
      <name val="Calibri"/>
      <family val="2"/>
      <scheme val="minor"/>
    </font>
    <font>
      <i/>
      <sz val="12"/>
      <color theme="1"/>
      <name val="Calibri"/>
      <family val="2"/>
      <scheme val="minor"/>
    </font>
    <font>
      <b/>
      <sz val="11"/>
      <color rgb="FF000000"/>
      <name val="Calibri"/>
      <family val="2"/>
      <scheme val="minor"/>
    </font>
    <font>
      <sz val="11"/>
      <color rgb="FF002060"/>
      <name val="Calibri"/>
      <family val="2"/>
      <scheme val="minor"/>
    </font>
    <font>
      <b/>
      <sz val="11"/>
      <color rgb="FF0000FF"/>
      <name val="Calibri"/>
      <family val="2"/>
      <scheme val="minor"/>
    </font>
    <font>
      <i/>
      <sz val="11"/>
      <color rgb="FF000000"/>
      <name val="Calibri"/>
      <family val="2"/>
      <scheme val="minor"/>
    </font>
    <font>
      <sz val="11"/>
      <color rgb="FF008000"/>
      <name val="Calibri"/>
      <family val="2"/>
      <scheme val="minor"/>
    </font>
    <font>
      <b/>
      <sz val="11"/>
      <color rgb="FF008000"/>
      <name val="Calibri"/>
      <family val="2"/>
      <scheme val="minor"/>
    </font>
    <font>
      <i/>
      <sz val="11"/>
      <color theme="1"/>
      <name val="Calibri"/>
      <family val="2"/>
      <scheme val="minor"/>
    </font>
    <font>
      <i/>
      <sz val="11"/>
      <color rgb="FF008000"/>
      <name val="Calibri"/>
      <family val="2"/>
      <scheme val="minor"/>
    </font>
  </fonts>
  <fills count="7">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theme="4" tint="-0.249977111117893"/>
        <bgColor indexed="64"/>
      </patternFill>
    </fill>
    <fill>
      <patternFill patternType="solid">
        <fgColor rgb="FFFFFFFF"/>
        <bgColor rgb="FF000000"/>
      </patternFill>
    </fill>
    <fill>
      <patternFill patternType="solid">
        <fgColor theme="0"/>
        <bgColor rgb="FF000000"/>
      </patternFill>
    </fill>
  </fills>
  <borders count="17">
    <border>
      <left/>
      <right/>
      <top/>
      <bottom/>
      <diagonal/>
    </border>
    <border>
      <left/>
      <right/>
      <top style="thin">
        <color indexed="64"/>
      </top>
      <bottom style="thin">
        <color indexed="64"/>
      </bottom>
      <diagonal/>
    </border>
    <border>
      <left/>
      <right/>
      <top style="thin">
        <color indexed="64"/>
      </top>
      <bottom style="double">
        <color indexed="64"/>
      </bottom>
      <diagonal/>
    </border>
    <border>
      <left/>
      <right/>
      <top style="thin">
        <color rgb="FF000000"/>
      </top>
      <bottom style="double">
        <color rgb="FF00000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141">
    <xf numFmtId="0" fontId="0" fillId="0" borderId="0" xfId="0"/>
    <xf numFmtId="0" fontId="0" fillId="2" borderId="0" xfId="0" applyFill="1"/>
    <xf numFmtId="0" fontId="0" fillId="3" borderId="0" xfId="0" applyFill="1"/>
    <xf numFmtId="0" fontId="2" fillId="3" borderId="0" xfId="0" applyFont="1" applyFill="1"/>
    <xf numFmtId="0" fontId="1" fillId="2" borderId="0" xfId="0" applyFont="1" applyFill="1"/>
    <xf numFmtId="0" fontId="3" fillId="3" borderId="0" xfId="0" applyFont="1" applyFill="1"/>
    <xf numFmtId="0" fontId="4" fillId="3" borderId="0" xfId="0" applyFont="1" applyFill="1" applyAlignment="1">
      <alignment horizontal="right"/>
    </xf>
    <xf numFmtId="164" fontId="0" fillId="3" borderId="0" xfId="0" applyNumberFormat="1" applyFill="1"/>
    <xf numFmtId="165" fontId="4" fillId="3" borderId="0" xfId="0" applyNumberFormat="1" applyFont="1" applyFill="1" applyAlignment="1">
      <alignment horizontal="right"/>
    </xf>
    <xf numFmtId="14" fontId="4" fillId="3" borderId="0" xfId="0" applyNumberFormat="1" applyFont="1" applyFill="1" applyAlignment="1">
      <alignment horizontal="right"/>
    </xf>
    <xf numFmtId="166" fontId="4" fillId="3" borderId="0" xfId="0" applyNumberFormat="1" applyFont="1" applyFill="1" applyAlignment="1">
      <alignment horizontal="right"/>
    </xf>
    <xf numFmtId="0" fontId="1" fillId="4" borderId="0" xfId="0" applyFont="1" applyFill="1" applyAlignment="1">
      <alignment horizontal="center"/>
    </xf>
    <xf numFmtId="0" fontId="1" fillId="2" borderId="0" xfId="0" applyFont="1" applyFill="1" applyAlignment="1">
      <alignment horizontal="center"/>
    </xf>
    <xf numFmtId="167" fontId="0" fillId="3" borderId="0" xfId="0" applyNumberFormat="1" applyFill="1"/>
    <xf numFmtId="0" fontId="8" fillId="2" borderId="0" xfId="0" applyFont="1" applyFill="1"/>
    <xf numFmtId="167" fontId="4" fillId="5" borderId="0" xfId="0" applyNumberFormat="1" applyFont="1" applyFill="1" applyBorder="1" applyAlignment="1"/>
    <xf numFmtId="167" fontId="4" fillId="3" borderId="0" xfId="0" applyNumberFormat="1" applyFont="1" applyFill="1"/>
    <xf numFmtId="0" fontId="2" fillId="3" borderId="1" xfId="0" applyFont="1" applyFill="1" applyBorder="1"/>
    <xf numFmtId="167" fontId="2" fillId="3" borderId="1" xfId="0" applyNumberFormat="1" applyFont="1" applyFill="1" applyBorder="1"/>
    <xf numFmtId="0" fontId="2" fillId="3" borderId="2" xfId="0" applyFont="1" applyFill="1" applyBorder="1"/>
    <xf numFmtId="0" fontId="0" fillId="3" borderId="0" xfId="0" applyFill="1" applyBorder="1"/>
    <xf numFmtId="169" fontId="0" fillId="3" borderId="0" xfId="0" applyNumberFormat="1" applyFill="1"/>
    <xf numFmtId="0" fontId="0" fillId="4" borderId="0" xfId="0" applyFill="1"/>
    <xf numFmtId="0" fontId="7" fillId="4" borderId="0" xfId="0" applyFont="1" applyFill="1"/>
    <xf numFmtId="169" fontId="3" fillId="3" borderId="0" xfId="0" applyNumberFormat="1" applyFont="1" applyFill="1"/>
    <xf numFmtId="169" fontId="4" fillId="3" borderId="0" xfId="0" applyNumberFormat="1" applyFont="1" applyFill="1"/>
    <xf numFmtId="0" fontId="9" fillId="3" borderId="0" xfId="0" applyFont="1" applyFill="1"/>
    <xf numFmtId="0" fontId="10" fillId="3" borderId="0" xfId="0" applyFont="1" applyFill="1"/>
    <xf numFmtId="0" fontId="11" fillId="3" borderId="0" xfId="0" applyFont="1" applyFill="1"/>
    <xf numFmtId="0" fontId="10" fillId="3" borderId="2" xfId="0" applyFont="1" applyFill="1" applyBorder="1"/>
    <xf numFmtId="167" fontId="3" fillId="3" borderId="0" xfId="0" applyNumberFormat="1" applyFont="1" applyFill="1"/>
    <xf numFmtId="171" fontId="3" fillId="3" borderId="0" xfId="0" applyNumberFormat="1" applyFont="1" applyFill="1"/>
    <xf numFmtId="170" fontId="3" fillId="5" borderId="0" xfId="0" applyNumberFormat="1" applyFont="1" applyFill="1" applyBorder="1" applyAlignment="1"/>
    <xf numFmtId="170" fontId="3" fillId="3" borderId="0" xfId="0" applyNumberFormat="1" applyFont="1" applyFill="1"/>
    <xf numFmtId="169" fontId="3" fillId="5" borderId="0" xfId="0" applyNumberFormat="1" applyFont="1" applyFill="1" applyBorder="1" applyAlignment="1"/>
    <xf numFmtId="167" fontId="12" fillId="5" borderId="3" xfId="0" applyNumberFormat="1" applyFont="1" applyFill="1" applyBorder="1" applyAlignment="1"/>
    <xf numFmtId="167" fontId="12" fillId="3" borderId="1" xfId="0" applyNumberFormat="1" applyFont="1" applyFill="1" applyBorder="1"/>
    <xf numFmtId="0" fontId="10" fillId="3" borderId="1" xfId="0" applyFont="1" applyFill="1" applyBorder="1"/>
    <xf numFmtId="167" fontId="12" fillId="3" borderId="2" xfId="0" applyNumberFormat="1" applyFont="1" applyFill="1" applyBorder="1"/>
    <xf numFmtId="0" fontId="0" fillId="3" borderId="1" xfId="0" applyFill="1" applyBorder="1"/>
    <xf numFmtId="0" fontId="0" fillId="3" borderId="2" xfId="0" applyFill="1" applyBorder="1"/>
    <xf numFmtId="0" fontId="1" fillId="3" borderId="0" xfId="0" applyFont="1" applyFill="1"/>
    <xf numFmtId="0" fontId="4" fillId="3" borderId="0" xfId="0" applyFont="1" applyFill="1"/>
    <xf numFmtId="0" fontId="9" fillId="3" borderId="0" xfId="0" quotePrefix="1" applyFont="1" applyFill="1"/>
    <xf numFmtId="0" fontId="13" fillId="2" borderId="0" xfId="0" applyFont="1" applyFill="1"/>
    <xf numFmtId="0" fontId="0" fillId="3" borderId="0" xfId="0" applyFill="1" applyAlignment="1">
      <alignment horizontal="right"/>
    </xf>
    <xf numFmtId="0" fontId="0" fillId="3" borderId="0" xfId="0" quotePrefix="1" applyFill="1"/>
    <xf numFmtId="168" fontId="3" fillId="3" borderId="0" xfId="0" applyNumberFormat="1" applyFont="1" applyFill="1"/>
    <xf numFmtId="168" fontId="4" fillId="3" borderId="0" xfId="0" applyNumberFormat="1" applyFont="1" applyFill="1"/>
    <xf numFmtId="167" fontId="14" fillId="3" borderId="1" xfId="0" applyNumberFormat="1" applyFont="1" applyFill="1" applyBorder="1"/>
    <xf numFmtId="0" fontId="1" fillId="4" borderId="0" xfId="0" applyFont="1" applyFill="1" applyAlignment="1">
      <alignment horizontal="center"/>
    </xf>
    <xf numFmtId="0" fontId="1" fillId="2" borderId="0" xfId="0" applyFont="1" applyFill="1" applyAlignment="1">
      <alignment horizontal="center"/>
    </xf>
    <xf numFmtId="169" fontId="4" fillId="3" borderId="6" xfId="0" applyNumberFormat="1" applyFont="1" applyFill="1" applyBorder="1"/>
    <xf numFmtId="169" fontId="4" fillId="3" borderId="7" xfId="0" applyNumberFormat="1" applyFont="1" applyFill="1" applyBorder="1"/>
    <xf numFmtId="169" fontId="4" fillId="3" borderId="8" xfId="0" applyNumberFormat="1" applyFont="1" applyFill="1" applyBorder="1"/>
    <xf numFmtId="168" fontId="0" fillId="3" borderId="0" xfId="0" applyNumberFormat="1" applyFill="1" applyBorder="1"/>
    <xf numFmtId="168" fontId="0" fillId="3" borderId="9" xfId="0" applyNumberFormat="1" applyFill="1" applyBorder="1"/>
    <xf numFmtId="169" fontId="4" fillId="3" borderId="10" xfId="0" applyNumberFormat="1" applyFont="1" applyFill="1" applyBorder="1"/>
    <xf numFmtId="168" fontId="0" fillId="3" borderId="11" xfId="0" applyNumberFormat="1" applyFill="1" applyBorder="1"/>
    <xf numFmtId="168" fontId="0" fillId="3" borderId="12" xfId="0" applyNumberFormat="1" applyFill="1" applyBorder="1"/>
    <xf numFmtId="168" fontId="0" fillId="3" borderId="5" xfId="0" applyNumberFormat="1" applyFill="1" applyBorder="1"/>
    <xf numFmtId="168" fontId="0" fillId="3" borderId="6" xfId="0" applyNumberFormat="1" applyFill="1" applyBorder="1"/>
    <xf numFmtId="168" fontId="0" fillId="3" borderId="7" xfId="0" applyNumberFormat="1" applyFill="1" applyBorder="1"/>
    <xf numFmtId="168" fontId="0" fillId="3" borderId="8" xfId="0" applyNumberFormat="1" applyFill="1" applyBorder="1"/>
    <xf numFmtId="168" fontId="0" fillId="3" borderId="10" xfId="0" applyNumberFormat="1" applyFill="1" applyBorder="1"/>
    <xf numFmtId="0" fontId="2" fillId="3" borderId="0" xfId="0" applyFont="1" applyFill="1" applyAlignment="1">
      <alignment horizontal="right"/>
    </xf>
    <xf numFmtId="169" fontId="4" fillId="5" borderId="0" xfId="0" applyNumberFormat="1" applyFont="1" applyFill="1" applyBorder="1" applyAlignment="1"/>
    <xf numFmtId="167" fontId="15" fillId="3" borderId="0" xfId="0" applyNumberFormat="1" applyFont="1" applyFill="1" applyAlignment="1">
      <alignment horizontal="center"/>
    </xf>
    <xf numFmtId="172" fontId="3" fillId="6" borderId="5" xfId="0" applyNumberFormat="1" applyFont="1" applyFill="1" applyBorder="1" applyAlignment="1"/>
    <xf numFmtId="172" fontId="3" fillId="6" borderId="6" xfId="0" applyNumberFormat="1" applyFont="1" applyFill="1" applyBorder="1" applyAlignment="1"/>
    <xf numFmtId="172" fontId="3" fillId="6" borderId="7" xfId="0" applyNumberFormat="1" applyFont="1" applyFill="1" applyBorder="1" applyAlignment="1"/>
    <xf numFmtId="172" fontId="3" fillId="6" borderId="8" xfId="0" applyNumberFormat="1" applyFont="1" applyFill="1" applyBorder="1" applyAlignment="1"/>
    <xf numFmtId="172" fontId="3" fillId="6" borderId="0" xfId="0" applyNumberFormat="1" applyFont="1" applyFill="1" applyBorder="1" applyAlignment="1"/>
    <xf numFmtId="172" fontId="3" fillId="6" borderId="9" xfId="0" applyNumberFormat="1" applyFont="1" applyFill="1" applyBorder="1" applyAlignment="1"/>
    <xf numFmtId="172" fontId="3" fillId="6" borderId="10" xfId="0" applyNumberFormat="1" applyFont="1" applyFill="1" applyBorder="1" applyAlignment="1"/>
    <xf numFmtId="172" fontId="3" fillId="6" borderId="11" xfId="0" applyNumberFormat="1" applyFont="1" applyFill="1" applyBorder="1" applyAlignment="1"/>
    <xf numFmtId="172" fontId="3" fillId="6" borderId="12" xfId="0" applyNumberFormat="1" applyFont="1" applyFill="1" applyBorder="1" applyAlignment="1"/>
    <xf numFmtId="169" fontId="4" fillId="6" borderId="0" xfId="0" applyNumberFormat="1" applyFont="1" applyFill="1" applyBorder="1" applyAlignment="1"/>
    <xf numFmtId="174" fontId="3" fillId="3" borderId="4" xfId="0" applyNumberFormat="1" applyFont="1" applyFill="1" applyBorder="1"/>
    <xf numFmtId="173" fontId="4" fillId="3" borderId="0" xfId="0" applyNumberFormat="1" applyFont="1" applyFill="1"/>
    <xf numFmtId="173" fontId="3" fillId="3" borderId="0" xfId="0" applyNumberFormat="1" applyFont="1" applyFill="1"/>
    <xf numFmtId="173" fontId="0" fillId="3" borderId="0" xfId="0" applyNumberFormat="1" applyFill="1"/>
    <xf numFmtId="174" fontId="0" fillId="3" borderId="0" xfId="0" applyNumberFormat="1" applyFill="1"/>
    <xf numFmtId="174" fontId="3" fillId="3" borderId="0" xfId="0" applyNumberFormat="1" applyFont="1" applyFill="1"/>
    <xf numFmtId="0" fontId="9" fillId="3" borderId="0" xfId="0" applyFont="1" applyFill="1" applyAlignment="1">
      <alignment horizontal="left" indent="1"/>
    </xf>
    <xf numFmtId="0" fontId="9" fillId="3" borderId="0" xfId="0" applyFont="1" applyFill="1" applyAlignment="1"/>
    <xf numFmtId="0" fontId="9" fillId="3" borderId="0" xfId="0" quotePrefix="1" applyFont="1" applyFill="1" applyAlignment="1"/>
    <xf numFmtId="167" fontId="16" fillId="3" borderId="0" xfId="0" applyNumberFormat="1" applyFont="1" applyFill="1"/>
    <xf numFmtId="0" fontId="10" fillId="3" borderId="1" xfId="0" applyFont="1" applyFill="1" applyBorder="1" applyAlignment="1"/>
    <xf numFmtId="167" fontId="17" fillId="3" borderId="1" xfId="0" applyNumberFormat="1" applyFont="1" applyFill="1" applyBorder="1"/>
    <xf numFmtId="169" fontId="16" fillId="3" borderId="0" xfId="0" applyNumberFormat="1" applyFont="1" applyFill="1"/>
    <xf numFmtId="167" fontId="3" fillId="5" borderId="0" xfId="0" applyNumberFormat="1" applyFont="1" applyFill="1" applyBorder="1" applyAlignment="1"/>
    <xf numFmtId="0" fontId="1" fillId="2" borderId="0" xfId="0" applyFont="1" applyFill="1" applyAlignment="1">
      <alignment horizontal="center"/>
    </xf>
    <xf numFmtId="0" fontId="1" fillId="4" borderId="0" xfId="0" applyFont="1" applyFill="1" applyAlignment="1">
      <alignment horizontal="center"/>
    </xf>
    <xf numFmtId="0" fontId="18" fillId="3" borderId="0" xfId="0" applyFont="1" applyFill="1"/>
    <xf numFmtId="0" fontId="2" fillId="3" borderId="11" xfId="0" applyFont="1" applyFill="1" applyBorder="1" applyAlignment="1">
      <alignment horizontal="center"/>
    </xf>
    <xf numFmtId="167" fontId="2" fillId="3" borderId="1" xfId="0" applyNumberFormat="1" applyFont="1" applyFill="1" applyBorder="1" applyAlignment="1">
      <alignment horizontal="center"/>
    </xf>
    <xf numFmtId="174" fontId="2" fillId="3" borderId="1" xfId="0" applyNumberFormat="1" applyFont="1" applyFill="1" applyBorder="1" applyAlignment="1">
      <alignment horizontal="center"/>
    </xf>
    <xf numFmtId="167" fontId="0" fillId="3" borderId="0" xfId="0" applyNumberFormat="1" applyFill="1" applyBorder="1" applyAlignment="1">
      <alignment horizontal="center"/>
    </xf>
    <xf numFmtId="167" fontId="0" fillId="3" borderId="6" xfId="0" applyNumberFormat="1" applyFill="1" applyBorder="1" applyAlignment="1">
      <alignment horizontal="center"/>
    </xf>
    <xf numFmtId="167" fontId="0" fillId="3" borderId="11" xfId="0" applyNumberFormat="1" applyFill="1" applyBorder="1" applyAlignment="1">
      <alignment horizontal="center"/>
    </xf>
    <xf numFmtId="0" fontId="0" fillId="3" borderId="0" xfId="0" applyFill="1" applyBorder="1" applyAlignment="1">
      <alignment horizontal="center"/>
    </xf>
    <xf numFmtId="0" fontId="0" fillId="3" borderId="6" xfId="0" applyFill="1" applyBorder="1" applyAlignment="1">
      <alignment horizontal="center"/>
    </xf>
    <xf numFmtId="169" fontId="18" fillId="3" borderId="0" xfId="0" applyNumberFormat="1" applyFont="1" applyFill="1" applyBorder="1" applyAlignment="1">
      <alignment horizontal="center"/>
    </xf>
    <xf numFmtId="169" fontId="18" fillId="3" borderId="6" xfId="0" applyNumberFormat="1" applyFont="1" applyFill="1" applyBorder="1" applyAlignment="1">
      <alignment horizontal="center"/>
    </xf>
    <xf numFmtId="174" fontId="16" fillId="3" borderId="0" xfId="0" applyNumberFormat="1" applyFont="1" applyFill="1"/>
    <xf numFmtId="14" fontId="16" fillId="3" borderId="0" xfId="0" applyNumberFormat="1" applyFont="1" applyFill="1"/>
    <xf numFmtId="169" fontId="19" fillId="3" borderId="0" xfId="0" applyNumberFormat="1" applyFont="1" applyFill="1"/>
    <xf numFmtId="169" fontId="15" fillId="3" borderId="0" xfId="0" applyNumberFormat="1" applyFont="1" applyFill="1"/>
    <xf numFmtId="175" fontId="4" fillId="3" borderId="0" xfId="0" applyNumberFormat="1" applyFont="1" applyFill="1"/>
    <xf numFmtId="176" fontId="3" fillId="3" borderId="0" xfId="0" applyNumberFormat="1" applyFont="1" applyFill="1"/>
    <xf numFmtId="169" fontId="12" fillId="3" borderId="1" xfId="0" applyNumberFormat="1" applyFont="1" applyFill="1" applyBorder="1"/>
    <xf numFmtId="175" fontId="18" fillId="3" borderId="0" xfId="0" applyNumberFormat="1" applyFont="1" applyFill="1"/>
    <xf numFmtId="169" fontId="18" fillId="3" borderId="0" xfId="0" applyNumberFormat="1" applyFont="1" applyFill="1"/>
    <xf numFmtId="174" fontId="2" fillId="3" borderId="5" xfId="0" applyNumberFormat="1" applyFont="1" applyFill="1" applyBorder="1"/>
    <xf numFmtId="169" fontId="0" fillId="3" borderId="6" xfId="0" applyNumberFormat="1" applyFill="1" applyBorder="1"/>
    <xf numFmtId="169" fontId="0" fillId="3" borderId="8" xfId="0" applyNumberFormat="1" applyFill="1" applyBorder="1"/>
    <xf numFmtId="0" fontId="0" fillId="3" borderId="5" xfId="0" applyFill="1" applyBorder="1"/>
    <xf numFmtId="167" fontId="0" fillId="3" borderId="8" xfId="0" applyNumberFormat="1" applyFill="1" applyBorder="1"/>
    <xf numFmtId="167" fontId="0" fillId="3" borderId="10" xfId="0" applyNumberFormat="1" applyFill="1" applyBorder="1"/>
    <xf numFmtId="169" fontId="0" fillId="3" borderId="13" xfId="0" applyNumberFormat="1" applyFill="1" applyBorder="1"/>
    <xf numFmtId="169" fontId="0" fillId="3" borderId="14" xfId="0" applyNumberFormat="1" applyFill="1" applyBorder="1"/>
    <xf numFmtId="175" fontId="4" fillId="3" borderId="6" xfId="0" applyNumberFormat="1" applyFont="1" applyFill="1" applyBorder="1"/>
    <xf numFmtId="0" fontId="2" fillId="3" borderId="0" xfId="0" applyFont="1" applyFill="1" applyAlignment="1"/>
    <xf numFmtId="0" fontId="0" fillId="3" borderId="0" xfId="0" applyFill="1" applyAlignment="1"/>
    <xf numFmtId="175" fontId="0" fillId="3" borderId="6" xfId="0" applyNumberFormat="1" applyFill="1" applyBorder="1"/>
    <xf numFmtId="175" fontId="0" fillId="3" borderId="7" xfId="0" applyNumberFormat="1" applyFill="1" applyBorder="1"/>
    <xf numFmtId="167" fontId="4" fillId="3" borderId="8" xfId="0" applyNumberFormat="1" applyFont="1" applyFill="1" applyBorder="1"/>
    <xf numFmtId="0" fontId="0" fillId="3" borderId="15" xfId="0" applyFill="1" applyBorder="1"/>
    <xf numFmtId="0" fontId="0" fillId="3" borderId="16" xfId="0" applyFill="1" applyBorder="1"/>
    <xf numFmtId="0" fontId="0" fillId="3" borderId="13" xfId="0" applyFill="1" applyBorder="1"/>
    <xf numFmtId="175" fontId="2" fillId="3" borderId="1" xfId="0" applyNumberFormat="1" applyFont="1" applyFill="1" applyBorder="1"/>
    <xf numFmtId="0" fontId="0" fillId="3" borderId="7" xfId="0" applyFill="1" applyBorder="1" applyAlignment="1">
      <alignment horizontal="center"/>
    </xf>
    <xf numFmtId="14" fontId="1" fillId="3" borderId="0" xfId="0" applyNumberFormat="1" applyFont="1" applyFill="1" applyAlignment="1">
      <alignment horizontal="center"/>
    </xf>
    <xf numFmtId="0" fontId="1" fillId="2" borderId="0" xfId="0" applyFont="1" applyFill="1" applyAlignment="1">
      <alignment horizontal="center"/>
    </xf>
    <xf numFmtId="0" fontId="1" fillId="4" borderId="0" xfId="0" applyFont="1" applyFill="1" applyAlignment="1">
      <alignment horizontal="center"/>
    </xf>
    <xf numFmtId="0" fontId="2" fillId="3" borderId="11" xfId="0" applyFont="1" applyFill="1" applyBorder="1" applyAlignment="1">
      <alignment horizontal="center"/>
    </xf>
    <xf numFmtId="0" fontId="2" fillId="3" borderId="0" xfId="0" applyFont="1" applyFill="1" applyAlignment="1">
      <alignment horizontal="center"/>
    </xf>
    <xf numFmtId="0" fontId="0" fillId="3" borderId="0" xfId="0" applyFill="1" applyAlignment="1">
      <alignment horizontal="center"/>
    </xf>
    <xf numFmtId="0" fontId="0" fillId="3" borderId="11" xfId="0" applyFill="1" applyBorder="1" applyAlignment="1">
      <alignment horizontal="center"/>
    </xf>
    <xf numFmtId="14" fontId="4" fillId="3" borderId="0" xfId="0" applyNumberFormat="1" applyFont="1" applyFill="1" applyAlignment="1" applyProtection="1">
      <alignment horizontal="right"/>
      <protection locked="0"/>
    </xf>
  </cellXfs>
  <cellStyles count="1">
    <cellStyle name="Normal"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DCF!$C$142</c:f>
              <c:strCache>
                <c:ptCount val="1"/>
                <c:pt idx="0">
                  <c:v>Low</c:v>
                </c:pt>
              </c:strCache>
            </c:strRef>
          </c:tx>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DCF!$B$143:$B$145</c:f>
              <c:strCache>
                <c:ptCount val="3"/>
                <c:pt idx="0">
                  <c:v>DCF Value at 11.0x-13.0x Exit EBITDA Range</c:v>
                </c:pt>
                <c:pt idx="1">
                  <c:v>DCF Value at 2.0%-4.0% Perpetuity Range</c:v>
                </c:pt>
                <c:pt idx="2">
                  <c:v>52 Week High/Low Market Price</c:v>
                </c:pt>
              </c:strCache>
            </c:strRef>
          </c:cat>
          <c:val>
            <c:numRef>
              <c:f>DCF!$C$143:$C$145</c:f>
              <c:numCache>
                <c:formatCode>#,##0.00;\(#,##0.00\);"–";@</c:formatCode>
                <c:ptCount val="3"/>
                <c:pt idx="0">
                  <c:v>268.4170451258575</c:v>
                </c:pt>
                <c:pt idx="1">
                  <c:v>302.34089511413202</c:v>
                </c:pt>
                <c:pt idx="2">
                  <c:v>169.5</c:v>
                </c:pt>
              </c:numCache>
            </c:numRef>
          </c:val>
          <c:extLst>
            <c:ext xmlns:c16="http://schemas.microsoft.com/office/drawing/2014/chart" uri="{C3380CC4-5D6E-409C-BE32-E72D297353CC}">
              <c16:uniqueId val="{00000000-FBE6-4190-A0B1-5D4E5E446FC6}"/>
            </c:ext>
          </c:extLst>
        </c:ser>
        <c:ser>
          <c:idx val="1"/>
          <c:order val="1"/>
          <c:tx>
            <c:strRef>
              <c:f>DCF!$D$142</c:f>
              <c:strCache>
                <c:ptCount val="1"/>
                <c:pt idx="0">
                  <c:v>Difference</c:v>
                </c:pt>
              </c:strCache>
            </c:strRef>
          </c:tx>
          <c:spPr>
            <a:solidFill>
              <a:schemeClr val="accent2"/>
            </a:solidFill>
            <a:ln>
              <a:noFill/>
            </a:ln>
            <a:effectLst/>
          </c:spPr>
          <c:invertIfNegative val="0"/>
          <c:cat>
            <c:strRef>
              <c:f>DCF!$B$143:$B$145</c:f>
              <c:strCache>
                <c:ptCount val="3"/>
                <c:pt idx="0">
                  <c:v>DCF Value at 11.0x-13.0x Exit EBITDA Range</c:v>
                </c:pt>
                <c:pt idx="1">
                  <c:v>DCF Value at 2.0%-4.0% Perpetuity Range</c:v>
                </c:pt>
                <c:pt idx="2">
                  <c:v>52 Week High/Low Market Price</c:v>
                </c:pt>
              </c:strCache>
            </c:strRef>
          </c:cat>
          <c:val>
            <c:numRef>
              <c:f>DCF!$D$143:$D$145</c:f>
              <c:numCache>
                <c:formatCode>#,##0.00;\(#,##0.00\);"–";@</c:formatCode>
                <c:ptCount val="3"/>
                <c:pt idx="0">
                  <c:v>32.683537117375295</c:v>
                </c:pt>
                <c:pt idx="1">
                  <c:v>149.43865060340329</c:v>
                </c:pt>
                <c:pt idx="2">
                  <c:v>158.35000000000002</c:v>
                </c:pt>
              </c:numCache>
            </c:numRef>
          </c:val>
          <c:extLst>
            <c:ext xmlns:c16="http://schemas.microsoft.com/office/drawing/2014/chart" uri="{C3380CC4-5D6E-409C-BE32-E72D297353CC}">
              <c16:uniqueId val="{00000001-FBE6-4190-A0B1-5D4E5E446FC6}"/>
            </c:ext>
          </c:extLst>
        </c:ser>
        <c:ser>
          <c:idx val="2"/>
          <c:order val="2"/>
          <c:tx>
            <c:strRef>
              <c:f>DCF!$E$142</c:f>
              <c:strCache>
                <c:ptCount val="1"/>
                <c:pt idx="0">
                  <c:v>High</c:v>
                </c:pt>
              </c:strCache>
            </c:strRef>
          </c:tx>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DCF!$B$143:$B$145</c:f>
              <c:strCache>
                <c:ptCount val="3"/>
                <c:pt idx="0">
                  <c:v>DCF Value at 11.0x-13.0x Exit EBITDA Range</c:v>
                </c:pt>
                <c:pt idx="1">
                  <c:v>DCF Value at 2.0%-4.0% Perpetuity Range</c:v>
                </c:pt>
                <c:pt idx="2">
                  <c:v>52 Week High/Low Market Price</c:v>
                </c:pt>
              </c:strCache>
            </c:strRef>
          </c:cat>
          <c:val>
            <c:numRef>
              <c:f>DCF!$E$143:$E$145</c:f>
              <c:numCache>
                <c:formatCode>#,##0.00;\(#,##0.00\);"–";@</c:formatCode>
                <c:ptCount val="3"/>
                <c:pt idx="0">
                  <c:v>301.10058224323279</c:v>
                </c:pt>
                <c:pt idx="1">
                  <c:v>451.77954571753531</c:v>
                </c:pt>
                <c:pt idx="2">
                  <c:v>327.85</c:v>
                </c:pt>
              </c:numCache>
            </c:numRef>
          </c:val>
          <c:extLst>
            <c:ext xmlns:c16="http://schemas.microsoft.com/office/drawing/2014/chart" uri="{C3380CC4-5D6E-409C-BE32-E72D297353CC}">
              <c16:uniqueId val="{00000002-FBE6-4190-A0B1-5D4E5E446FC6}"/>
            </c:ext>
          </c:extLst>
        </c:ser>
        <c:dLbls>
          <c:showLegendKey val="0"/>
          <c:showVal val="0"/>
          <c:showCatName val="0"/>
          <c:showSerName val="0"/>
          <c:showPercent val="0"/>
          <c:showBubbleSize val="0"/>
        </c:dLbls>
        <c:gapWidth val="150"/>
        <c:overlap val="100"/>
        <c:axId val="400713528"/>
        <c:axId val="400710904"/>
      </c:barChart>
      <c:catAx>
        <c:axId val="4007135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0710904"/>
        <c:crosses val="autoZero"/>
        <c:auto val="1"/>
        <c:lblAlgn val="ctr"/>
        <c:lblOffset val="100"/>
        <c:noMultiLvlLbl val="0"/>
      </c:catAx>
      <c:valAx>
        <c:axId val="400710904"/>
        <c:scaling>
          <c:orientation val="minMax"/>
          <c:max val="500"/>
          <c:min val="100"/>
        </c:scaling>
        <c:delete val="0"/>
        <c:axPos val="l"/>
        <c:numFmt formatCode="#,##0.00;\(#,##0.00\);&quot;–&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400713528"/>
        <c:crosses val="autoZero"/>
        <c:crossBetween val="between"/>
      </c:valAx>
      <c:spPr>
        <a:no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367394</xdr:colOff>
      <xdr:row>124</xdr:row>
      <xdr:rowOff>67354</xdr:rowOff>
    </xdr:from>
    <xdr:to>
      <xdr:col>3</xdr:col>
      <xdr:colOff>836840</xdr:colOff>
      <xdr:row>139</xdr:row>
      <xdr:rowOff>176892</xdr:rowOff>
    </xdr:to>
    <xdr:graphicFrame macro="">
      <xdr:nvGraphicFramePr>
        <xdr:cNvPr id="2" name="Chart 1">
          <a:extLst>
            <a:ext uri="{FF2B5EF4-FFF2-40B4-BE49-F238E27FC236}">
              <a16:creationId xmlns:a16="http://schemas.microsoft.com/office/drawing/2014/main" id="{0580DF38-D6AE-495B-A959-5B555804C57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609E1-AFAA-45DD-930C-BC4DD5BB542C}">
  <dimension ref="A1:G24"/>
  <sheetViews>
    <sheetView zoomScale="140" zoomScaleNormal="140" workbookViewId="0">
      <pane ySplit="2" topLeftCell="A3" activePane="bottomLeft" state="frozen"/>
      <selection pane="bottomLeft" activeCell="D29" sqref="D29"/>
    </sheetView>
  </sheetViews>
  <sheetFormatPr defaultRowHeight="15" x14ac:dyDescent="0.25"/>
  <cols>
    <col min="1" max="1" width="1.7109375" style="2" customWidth="1"/>
    <col min="2" max="2" width="57" style="2" bestFit="1" customWidth="1"/>
    <col min="3" max="16384" width="9.140625" style="2"/>
  </cols>
  <sheetData>
    <row r="1" spans="1:7" x14ac:dyDescent="0.25">
      <c r="A1" s="1"/>
      <c r="B1" s="4" t="s">
        <v>168</v>
      </c>
      <c r="C1" s="134" t="s">
        <v>11</v>
      </c>
      <c r="D1" s="134"/>
      <c r="E1" s="134"/>
      <c r="F1" s="134"/>
      <c r="G1" s="134"/>
    </row>
    <row r="2" spans="1:7" ht="28.5" x14ac:dyDescent="0.45">
      <c r="A2" s="1"/>
      <c r="B2" s="14" t="s">
        <v>157</v>
      </c>
      <c r="C2" s="51">
        <v>2020</v>
      </c>
      <c r="D2" s="51">
        <v>2021</v>
      </c>
      <c r="E2" s="51">
        <v>2022</v>
      </c>
      <c r="F2" s="51">
        <v>2023</v>
      </c>
      <c r="G2" s="51">
        <v>2024</v>
      </c>
    </row>
    <row r="3" spans="1:7" ht="5.25" customHeight="1" x14ac:dyDescent="0.25"/>
    <row r="4" spans="1:7" ht="15.75" customHeight="1" x14ac:dyDescent="0.25">
      <c r="B4" s="26" t="s">
        <v>29</v>
      </c>
      <c r="C4" s="68">
        <f ca="1">OFFSET(C$9,MATCH('Financial Statements'!$C$9,$B$10:$B$12,0)+MATCH($B4,$B$9:$B$24,0)-1,0)</f>
        <v>1.2500000000000001E-2</v>
      </c>
      <c r="D4" s="69">
        <f ca="1">OFFSET(D$9,MATCH('Financial Statements'!$C$9,$B$10:$B$12,0)+MATCH($B4,$B$9:$B$24,0)-1,0)</f>
        <v>0.04</v>
      </c>
      <c r="E4" s="69">
        <f ca="1">OFFSET(E$9,MATCH('Financial Statements'!$C$9,$B$10:$B$12,0)+MATCH($B4,$B$9:$B$24,0)-1,0)</f>
        <v>0.05</v>
      </c>
      <c r="F4" s="69">
        <f ca="1">OFFSET(F$9,MATCH('Financial Statements'!$C$9,$B$10:$B$12,0)+MATCH($B4,$B$9:$B$24,0)-1,0)</f>
        <v>0.05</v>
      </c>
      <c r="G4" s="70">
        <f ca="1">OFFSET(G$9,MATCH('Financial Statements'!$C$9,$B$10:$B$12,0)+MATCH($B4,$B$9:$B$24,0)-1,0)</f>
        <v>0.05</v>
      </c>
    </row>
    <row r="5" spans="1:7" ht="15.75" customHeight="1" x14ac:dyDescent="0.25">
      <c r="B5" s="26" t="s">
        <v>30</v>
      </c>
      <c r="C5" s="71">
        <f ca="1">OFFSET(C$9,MATCH('Financial Statements'!$C$9,$B$10:$B$12,0)+MATCH($B5,$B$9:$B$24,0)-1,0)</f>
        <v>0.4</v>
      </c>
      <c r="D5" s="72">
        <f ca="1">OFFSET(D$9,MATCH('Financial Statements'!$C$9,$B$10:$B$12,0)+MATCH($B5,$B$9:$B$24,0)-1,0)</f>
        <v>0.4</v>
      </c>
      <c r="E5" s="72">
        <f ca="1">OFFSET(E$9,MATCH('Financial Statements'!$C$9,$B$10:$B$12,0)+MATCH($B5,$B$9:$B$24,0)-1,0)</f>
        <v>0.42499999999999999</v>
      </c>
      <c r="F5" s="72">
        <f ca="1">OFFSET(F$9,MATCH('Financial Statements'!$C$9,$B$10:$B$12,0)+MATCH($B5,$B$9:$B$24,0)-1,0)</f>
        <v>0.38</v>
      </c>
      <c r="G5" s="73">
        <f ca="1">OFFSET(G$9,MATCH('Financial Statements'!$C$9,$B$10:$B$12,0)+MATCH($B5,$B$9:$B$24,0)-1,0)</f>
        <v>0.37</v>
      </c>
    </row>
    <row r="6" spans="1:7" ht="15.75" customHeight="1" x14ac:dyDescent="0.25">
      <c r="B6" s="26" t="s">
        <v>31</v>
      </c>
      <c r="C6" s="71">
        <f ca="1">OFFSET(C$9,MATCH('Financial Statements'!$C$9,$B$10:$B$12,0)+MATCH($B6,$B$9:$B$24,0)-1,0)</f>
        <v>0.06</v>
      </c>
      <c r="D6" s="72">
        <f ca="1">OFFSET(D$9,MATCH('Financial Statements'!$C$9,$B$10:$B$12,0)+MATCH($B6,$B$9:$B$24,0)-1,0)</f>
        <v>0.06</v>
      </c>
      <c r="E6" s="72">
        <f ca="1">OFFSET(E$9,MATCH('Financial Statements'!$C$9,$B$10:$B$12,0)+MATCH($B6,$B$9:$B$24,0)-1,0)</f>
        <v>6.5000000000000002E-2</v>
      </c>
      <c r="F6" s="72">
        <f ca="1">OFFSET(F$9,MATCH('Financial Statements'!$C$9,$B$10:$B$12,0)+MATCH($B6,$B$9:$B$24,0)-1,0)</f>
        <v>6.5000000000000002E-2</v>
      </c>
      <c r="G6" s="73">
        <f ca="1">OFFSET(G$9,MATCH('Financial Statements'!$C$9,$B$10:$B$12,0)+MATCH($B6,$B$9:$B$24,0)-1,0)</f>
        <v>6.25E-2</v>
      </c>
    </row>
    <row r="7" spans="1:7" ht="15.75" customHeight="1" x14ac:dyDescent="0.25">
      <c r="B7" s="26" t="s">
        <v>32</v>
      </c>
      <c r="C7" s="74">
        <f ca="1">OFFSET(C$9,MATCH('Financial Statements'!$C$9,$B$10:$B$12,0)+MATCH($B7,$B$9:$B$24,0)-1,0)</f>
        <v>6.8000000000000005E-2</v>
      </c>
      <c r="D7" s="75">
        <f ca="1">OFFSET(D$9,MATCH('Financial Statements'!$C$9,$B$10:$B$12,0)+MATCH($B7,$B$9:$B$24,0)-1,0)</f>
        <v>6.8000000000000005E-2</v>
      </c>
      <c r="E7" s="75">
        <f ca="1">OFFSET(E$9,MATCH('Financial Statements'!$C$9,$B$10:$B$12,0)+MATCH($B7,$B$9:$B$24,0)-1,0)</f>
        <v>6.5000000000000002E-2</v>
      </c>
      <c r="F7" s="75">
        <f ca="1">OFFSET(F$9,MATCH('Financial Statements'!$C$9,$B$10:$B$12,0)+MATCH($B7,$B$9:$B$24,0)-1,0)</f>
        <v>6.25E-2</v>
      </c>
      <c r="G7" s="76">
        <f ca="1">OFFSET(G$9,MATCH('Financial Statements'!$C$9,$B$10:$B$12,0)+MATCH($B7,$B$9:$B$24,0)-1,0)</f>
        <v>6.25E-2</v>
      </c>
    </row>
    <row r="8" spans="1:7" ht="5.25" customHeight="1" x14ac:dyDescent="0.25">
      <c r="B8" s="26"/>
    </row>
    <row r="9" spans="1:7" ht="15.75" x14ac:dyDescent="0.25">
      <c r="B9" s="27" t="s">
        <v>151</v>
      </c>
    </row>
    <row r="10" spans="1:7" ht="15.75" x14ac:dyDescent="0.25">
      <c r="B10" s="85" t="s">
        <v>152</v>
      </c>
      <c r="C10" s="25">
        <v>0.1</v>
      </c>
      <c r="D10" s="25">
        <v>0.1</v>
      </c>
      <c r="E10" s="25">
        <v>0.1</v>
      </c>
      <c r="F10" s="25">
        <v>0.1</v>
      </c>
      <c r="G10" s="25">
        <v>0.1</v>
      </c>
    </row>
    <row r="11" spans="1:7" ht="15.75" x14ac:dyDescent="0.25">
      <c r="B11" s="85" t="s">
        <v>153</v>
      </c>
      <c r="C11" s="25">
        <v>1.2500000000000001E-2</v>
      </c>
      <c r="D11" s="25">
        <v>0.04</v>
      </c>
      <c r="E11" s="25">
        <v>0.05</v>
      </c>
      <c r="F11" s="25">
        <v>0.05</v>
      </c>
      <c r="G11" s="25">
        <v>0.05</v>
      </c>
    </row>
    <row r="12" spans="1:7" ht="15.75" x14ac:dyDescent="0.25">
      <c r="B12" s="85" t="s">
        <v>154</v>
      </c>
      <c r="C12" s="25">
        <v>1E-4</v>
      </c>
      <c r="D12" s="25">
        <v>1E-4</v>
      </c>
      <c r="E12" s="25">
        <v>1E-4</v>
      </c>
      <c r="F12" s="25">
        <v>1E-4</v>
      </c>
      <c r="G12" s="25">
        <v>1E-4</v>
      </c>
    </row>
    <row r="13" spans="1:7" ht="15.75" x14ac:dyDescent="0.25">
      <c r="B13" s="27" t="s">
        <v>30</v>
      </c>
      <c r="C13" s="21"/>
      <c r="D13" s="21"/>
      <c r="E13" s="21"/>
      <c r="F13" s="21"/>
      <c r="G13" s="21"/>
    </row>
    <row r="14" spans="1:7" ht="15.75" x14ac:dyDescent="0.25">
      <c r="B14" s="26" t="s">
        <v>152</v>
      </c>
      <c r="C14" s="25">
        <v>0.42</v>
      </c>
      <c r="D14" s="25">
        <v>0.42</v>
      </c>
      <c r="E14" s="25">
        <v>0.42</v>
      </c>
      <c r="F14" s="25">
        <v>0.42</v>
      </c>
      <c r="G14" s="25">
        <v>0.42</v>
      </c>
    </row>
    <row r="15" spans="1:7" ht="15.75" x14ac:dyDescent="0.25">
      <c r="B15" s="26" t="s">
        <v>153</v>
      </c>
      <c r="C15" s="77">
        <v>0.4</v>
      </c>
      <c r="D15" s="77">
        <v>0.4</v>
      </c>
      <c r="E15" s="77">
        <v>0.42499999999999999</v>
      </c>
      <c r="F15" s="77">
        <v>0.38</v>
      </c>
      <c r="G15" s="77">
        <v>0.37</v>
      </c>
    </row>
    <row r="16" spans="1:7" ht="15.75" x14ac:dyDescent="0.25">
      <c r="B16" s="26" t="s">
        <v>154</v>
      </c>
      <c r="C16" s="25">
        <v>0.38</v>
      </c>
      <c r="D16" s="25">
        <v>0.38</v>
      </c>
      <c r="E16" s="25">
        <v>0.38</v>
      </c>
      <c r="F16" s="25">
        <v>0.38</v>
      </c>
      <c r="G16" s="25">
        <v>0.38</v>
      </c>
    </row>
    <row r="17" spans="2:7" ht="15.75" x14ac:dyDescent="0.25">
      <c r="B17" s="27" t="s">
        <v>155</v>
      </c>
      <c r="C17" s="21"/>
      <c r="D17" s="21"/>
      <c r="E17" s="21"/>
      <c r="F17" s="21"/>
      <c r="G17" s="21"/>
    </row>
    <row r="18" spans="2:7" ht="15.75" x14ac:dyDescent="0.25">
      <c r="B18" s="26" t="s">
        <v>152</v>
      </c>
      <c r="C18" s="25">
        <v>4.4999999999999998E-2</v>
      </c>
      <c r="D18" s="25">
        <v>4.4999999999999998E-2</v>
      </c>
      <c r="E18" s="25">
        <v>4.4999999999999998E-2</v>
      </c>
      <c r="F18" s="25">
        <v>4.4999999999999998E-2</v>
      </c>
      <c r="G18" s="25">
        <v>4.4999999999999998E-2</v>
      </c>
    </row>
    <row r="19" spans="2:7" ht="15.75" x14ac:dyDescent="0.25">
      <c r="B19" s="26" t="s">
        <v>153</v>
      </c>
      <c r="C19" s="77">
        <v>0.06</v>
      </c>
      <c r="D19" s="77">
        <v>0.06</v>
      </c>
      <c r="E19" s="77">
        <v>6.5000000000000002E-2</v>
      </c>
      <c r="F19" s="77">
        <v>6.5000000000000002E-2</v>
      </c>
      <c r="G19" s="77">
        <v>6.25E-2</v>
      </c>
    </row>
    <row r="20" spans="2:7" ht="15.75" x14ac:dyDescent="0.25">
      <c r="B20" s="26" t="s">
        <v>154</v>
      </c>
      <c r="C20" s="25">
        <v>7.4999999999999997E-2</v>
      </c>
      <c r="D20" s="25">
        <v>7.4999999999999997E-2</v>
      </c>
      <c r="E20" s="25">
        <v>7.4999999999999997E-2</v>
      </c>
      <c r="F20" s="25">
        <v>7.4999999999999997E-2</v>
      </c>
      <c r="G20" s="25">
        <v>7.4999999999999997E-2</v>
      </c>
    </row>
    <row r="21" spans="2:7" ht="15.75" x14ac:dyDescent="0.25">
      <c r="B21" s="27" t="s">
        <v>156</v>
      </c>
      <c r="C21" s="21"/>
      <c r="D21" s="21"/>
      <c r="E21" s="21"/>
      <c r="F21" s="21"/>
      <c r="G21" s="21"/>
    </row>
    <row r="22" spans="2:7" ht="15.75" x14ac:dyDescent="0.25">
      <c r="B22" s="26" t="s">
        <v>152</v>
      </c>
      <c r="C22" s="25">
        <v>5.5E-2</v>
      </c>
      <c r="D22" s="25">
        <v>5.5E-2</v>
      </c>
      <c r="E22" s="25">
        <v>5.5E-2</v>
      </c>
      <c r="F22" s="25">
        <v>5.5E-2</v>
      </c>
      <c r="G22" s="25">
        <v>5.5E-2</v>
      </c>
    </row>
    <row r="23" spans="2:7" ht="15.75" x14ac:dyDescent="0.25">
      <c r="B23" s="26" t="s">
        <v>153</v>
      </c>
      <c r="C23" s="25">
        <v>6.8000000000000005E-2</v>
      </c>
      <c r="D23" s="25">
        <v>6.8000000000000005E-2</v>
      </c>
      <c r="E23" s="25">
        <v>6.5000000000000002E-2</v>
      </c>
      <c r="F23" s="25">
        <v>6.25E-2</v>
      </c>
      <c r="G23" s="25">
        <v>6.25E-2</v>
      </c>
    </row>
    <row r="24" spans="2:7" ht="15.75" x14ac:dyDescent="0.25">
      <c r="B24" s="26" t="s">
        <v>154</v>
      </c>
      <c r="C24" s="25">
        <v>7.4999999999999997E-2</v>
      </c>
      <c r="D24" s="25">
        <v>7.4999999999999997E-2</v>
      </c>
      <c r="E24" s="25">
        <v>7.4999999999999997E-2</v>
      </c>
      <c r="F24" s="25">
        <v>7.4999999999999997E-2</v>
      </c>
      <c r="G24" s="25">
        <v>7.4999999999999997E-2</v>
      </c>
    </row>
  </sheetData>
  <mergeCells count="1">
    <mergeCell ref="C1:G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96C331-755D-4ECA-B48B-2EBF1CE53A14}">
  <dimension ref="A1:K271"/>
  <sheetViews>
    <sheetView zoomScale="140" zoomScaleNormal="140" workbookViewId="0">
      <pane ySplit="2" topLeftCell="A3" activePane="bottomLeft" state="frozen"/>
      <selection pane="bottomLeft" activeCell="C9" sqref="C9"/>
    </sheetView>
  </sheetViews>
  <sheetFormatPr defaultRowHeight="15" outlineLevelRow="1" x14ac:dyDescent="0.25"/>
  <cols>
    <col min="1" max="1" width="1.7109375" style="2" customWidth="1"/>
    <col min="2" max="2" width="51.42578125" style="2" customWidth="1"/>
    <col min="3" max="10" width="13.7109375" style="2" customWidth="1"/>
    <col min="11" max="16384" width="9.140625" style="2"/>
  </cols>
  <sheetData>
    <row r="1" spans="1:11" x14ac:dyDescent="0.25">
      <c r="A1" s="1"/>
      <c r="B1" s="4" t="s">
        <v>167</v>
      </c>
      <c r="C1" s="135" t="s">
        <v>10</v>
      </c>
      <c r="D1" s="135"/>
      <c r="E1" s="135"/>
      <c r="F1" s="134" t="s">
        <v>11</v>
      </c>
      <c r="G1" s="134"/>
      <c r="H1" s="134"/>
      <c r="I1" s="134"/>
      <c r="J1" s="134"/>
    </row>
    <row r="2" spans="1:11" ht="28.5" x14ac:dyDescent="0.45">
      <c r="A2" s="1"/>
      <c r="B2" s="14" t="str">
        <f>C4&amp;" Financial Statements"</f>
        <v>Apple Financial Statements</v>
      </c>
      <c r="C2" s="11">
        <v>2017</v>
      </c>
      <c r="D2" s="11">
        <v>2018</v>
      </c>
      <c r="E2" s="11">
        <v>2019</v>
      </c>
      <c r="F2" s="12">
        <v>2020</v>
      </c>
      <c r="G2" s="12">
        <v>2021</v>
      </c>
      <c r="H2" s="12">
        <v>2022</v>
      </c>
      <c r="I2" s="12">
        <v>2023</v>
      </c>
      <c r="J2" s="12">
        <v>2024</v>
      </c>
      <c r="K2" s="41"/>
    </row>
    <row r="3" spans="1:11" ht="5.25" customHeight="1" x14ac:dyDescent="0.25"/>
    <row r="4" spans="1:11" x14ac:dyDescent="0.25">
      <c r="B4" s="5" t="s">
        <v>0</v>
      </c>
      <c r="C4" s="6" t="s">
        <v>1</v>
      </c>
    </row>
    <row r="5" spans="1:11" x14ac:dyDescent="0.25">
      <c r="B5" s="5" t="s">
        <v>2</v>
      </c>
      <c r="C5" s="6" t="s">
        <v>3</v>
      </c>
    </row>
    <row r="6" spans="1:11" x14ac:dyDescent="0.25">
      <c r="B6" s="7" t="s">
        <v>4</v>
      </c>
      <c r="C6" s="8">
        <v>273.36</v>
      </c>
    </row>
    <row r="7" spans="1:11" x14ac:dyDescent="0.25">
      <c r="B7" s="5" t="s">
        <v>5</v>
      </c>
      <c r="C7" s="9">
        <v>43889</v>
      </c>
    </row>
    <row r="8" spans="1:11" x14ac:dyDescent="0.25">
      <c r="B8" s="5" t="s">
        <v>6</v>
      </c>
      <c r="C8" s="9">
        <v>43736</v>
      </c>
    </row>
    <row r="9" spans="1:11" x14ac:dyDescent="0.25">
      <c r="B9" s="5" t="s">
        <v>150</v>
      </c>
      <c r="C9" s="140" t="s">
        <v>153</v>
      </c>
    </row>
    <row r="10" spans="1:11" x14ac:dyDescent="0.25">
      <c r="B10" s="5" t="s">
        <v>7</v>
      </c>
      <c r="C10" s="10" t="s">
        <v>8</v>
      </c>
    </row>
    <row r="11" spans="1:11" ht="5.25" customHeight="1" x14ac:dyDescent="0.25"/>
    <row r="12" spans="1:11" ht="28.5" x14ac:dyDescent="0.45">
      <c r="A12" s="44" t="s">
        <v>137</v>
      </c>
      <c r="B12" s="14" t="s">
        <v>9</v>
      </c>
      <c r="C12" s="1"/>
      <c r="D12" s="1"/>
      <c r="E12" s="1"/>
      <c r="F12" s="1"/>
      <c r="G12" s="1"/>
      <c r="H12" s="1"/>
      <c r="I12" s="1"/>
      <c r="J12" s="1"/>
    </row>
    <row r="13" spans="1:11" ht="5.25" customHeight="1" x14ac:dyDescent="0.25"/>
    <row r="14" spans="1:11" x14ac:dyDescent="0.25">
      <c r="B14" s="2" t="s">
        <v>12</v>
      </c>
      <c r="C14" s="79">
        <v>229234</v>
      </c>
      <c r="D14" s="79">
        <v>265595</v>
      </c>
      <c r="E14" s="79">
        <v>260174</v>
      </c>
      <c r="F14" s="80">
        <f ca="1">E14*(1+F38)</f>
        <v>263426.17499999999</v>
      </c>
      <c r="G14" s="80">
        <f ca="1">F14*(1+G38)</f>
        <v>273963.22200000001</v>
      </c>
      <c r="H14" s="80">
        <f ca="1">G14*(1+H38)</f>
        <v>287661.38310000004</v>
      </c>
      <c r="I14" s="80">
        <f ca="1">H14*(1+I38)</f>
        <v>302044.45225500007</v>
      </c>
      <c r="J14" s="80">
        <f ca="1">I14*(1+J38)</f>
        <v>317146.67486775009</v>
      </c>
    </row>
    <row r="15" spans="1:11" ht="15" customHeight="1" x14ac:dyDescent="0.25">
      <c r="B15" s="2" t="s">
        <v>13</v>
      </c>
      <c r="C15" s="15">
        <v>-141048</v>
      </c>
      <c r="D15" s="15">
        <v>-163756</v>
      </c>
      <c r="E15" s="15">
        <v>-161782</v>
      </c>
      <c r="F15" s="30">
        <f ca="1">-(F14-F16)</f>
        <v>-158055.70499999999</v>
      </c>
      <c r="G15" s="30">
        <f ca="1">-(G14-G16)</f>
        <v>-164377.9332</v>
      </c>
      <c r="H15" s="30">
        <f ca="1">-(H14-H16)</f>
        <v>-165405.29528250004</v>
      </c>
      <c r="I15" s="30">
        <f ca="1">-(I14-I16)</f>
        <v>-187267.56039810006</v>
      </c>
      <c r="J15" s="30">
        <f ca="1">-(J14-J16)</f>
        <v>-199802.40516668255</v>
      </c>
    </row>
    <row r="16" spans="1:11" x14ac:dyDescent="0.25">
      <c r="B16" s="17" t="s">
        <v>14</v>
      </c>
      <c r="C16" s="36">
        <f>SUM(C14:C15)</f>
        <v>88186</v>
      </c>
      <c r="D16" s="36">
        <f>SUM(D14:D15)</f>
        <v>101839</v>
      </c>
      <c r="E16" s="36">
        <f>SUM(E14:E15)</f>
        <v>98392</v>
      </c>
      <c r="F16" s="36">
        <f ca="1">F14*F39</f>
        <v>105370.47</v>
      </c>
      <c r="G16" s="36">
        <f ca="1">G14*G39</f>
        <v>109585.28880000001</v>
      </c>
      <c r="H16" s="36">
        <f ca="1">H14*H39</f>
        <v>122256.08781750001</v>
      </c>
      <c r="I16" s="36">
        <f ca="1">I14*I39</f>
        <v>114776.89185690002</v>
      </c>
      <c r="J16" s="36">
        <f ca="1">J14*J39</f>
        <v>117344.26970106753</v>
      </c>
    </row>
    <row r="17" spans="2:10" ht="5.25" customHeight="1" x14ac:dyDescent="0.25">
      <c r="C17" s="13"/>
      <c r="D17" s="13"/>
      <c r="E17" s="13"/>
      <c r="F17" s="13"/>
      <c r="G17" s="13"/>
      <c r="H17" s="13"/>
      <c r="I17" s="13"/>
      <c r="J17" s="13"/>
    </row>
    <row r="18" spans="2:10" x14ac:dyDescent="0.25">
      <c r="B18" s="2" t="s">
        <v>15</v>
      </c>
      <c r="C18" s="16">
        <v>-11581</v>
      </c>
      <c r="D18" s="16">
        <v>-14236</v>
      </c>
      <c r="E18" s="16">
        <v>-16217</v>
      </c>
      <c r="F18" s="30">
        <f ca="1">-(F14*F40)</f>
        <v>-15805.570499999998</v>
      </c>
      <c r="G18" s="30">
        <f ca="1">-(G14*G40)</f>
        <v>-16437.793320000001</v>
      </c>
      <c r="H18" s="30">
        <f ca="1">-(H14*H40)</f>
        <v>-18697.989901500005</v>
      </c>
      <c r="I18" s="30">
        <f ca="1">-(I14*I40)</f>
        <v>-19632.889396575007</v>
      </c>
      <c r="J18" s="30">
        <f ca="1">-(J14*J40)</f>
        <v>-19821.66717923438</v>
      </c>
    </row>
    <row r="19" spans="2:10" x14ac:dyDescent="0.25">
      <c r="B19" s="2" t="s">
        <v>38</v>
      </c>
      <c r="C19" s="16">
        <v>-15261</v>
      </c>
      <c r="D19" s="16">
        <v>-16705</v>
      </c>
      <c r="E19" s="16">
        <v>-18245</v>
      </c>
      <c r="F19" s="30">
        <f ca="1">-(F14*F41)</f>
        <v>-17912.979900000002</v>
      </c>
      <c r="G19" s="30">
        <f ca="1">-(G14*G41)</f>
        <v>-18629.499096000003</v>
      </c>
      <c r="H19" s="30">
        <f ca="1">-(H14*H41)</f>
        <v>-18697.989901500005</v>
      </c>
      <c r="I19" s="30">
        <f ca="1">-(I14*I41)</f>
        <v>-18877.778265937504</v>
      </c>
      <c r="J19" s="30">
        <f ca="1">-(J14*J41)</f>
        <v>-19821.66717923438</v>
      </c>
    </row>
    <row r="20" spans="2:10" x14ac:dyDescent="0.25">
      <c r="B20" s="17" t="s">
        <v>16</v>
      </c>
      <c r="C20" s="36">
        <f t="shared" ref="C20:J20" si="0">SUM(C18:C19,C16)</f>
        <v>61344</v>
      </c>
      <c r="D20" s="36">
        <f t="shared" si="0"/>
        <v>70898</v>
      </c>
      <c r="E20" s="36">
        <f t="shared" si="0"/>
        <v>63930</v>
      </c>
      <c r="F20" s="36">
        <f t="shared" ca="1" si="0"/>
        <v>71651.919599999994</v>
      </c>
      <c r="G20" s="36">
        <f t="shared" ca="1" si="0"/>
        <v>74517.996383999998</v>
      </c>
      <c r="H20" s="36">
        <f t="shared" ca="1" si="0"/>
        <v>84860.108014500001</v>
      </c>
      <c r="I20" s="36">
        <f t="shared" ca="1" si="0"/>
        <v>76266.224194387512</v>
      </c>
      <c r="J20" s="36">
        <f t="shared" ca="1" si="0"/>
        <v>77700.935342598765</v>
      </c>
    </row>
    <row r="21" spans="2:10" ht="5.25" customHeight="1" x14ac:dyDescent="0.25"/>
    <row r="22" spans="2:10" x14ac:dyDescent="0.25">
      <c r="B22" s="2" t="s">
        <v>17</v>
      </c>
      <c r="C22" s="16">
        <v>5201</v>
      </c>
      <c r="D22" s="16">
        <v>5686</v>
      </c>
      <c r="E22" s="16">
        <v>4961</v>
      </c>
      <c r="F22" s="13">
        <f ca="1">F249</f>
        <v>4946.9331285377548</v>
      </c>
      <c r="G22" s="13">
        <f ca="1">G249</f>
        <v>5847.2117710406174</v>
      </c>
      <c r="H22" s="13">
        <f ca="1">H249</f>
        <v>6886.3348058248193</v>
      </c>
      <c r="I22" s="13">
        <f ca="1">I249</f>
        <v>7889.0863374417422</v>
      </c>
      <c r="J22" s="13">
        <f ca="1">J249</f>
        <v>8682.6498082856815</v>
      </c>
    </row>
    <row r="23" spans="2:10" x14ac:dyDescent="0.25">
      <c r="B23" s="2" t="s">
        <v>18</v>
      </c>
      <c r="C23" s="16">
        <v>-2323</v>
      </c>
      <c r="D23" s="16">
        <v>-3240</v>
      </c>
      <c r="E23" s="16">
        <v>-3576</v>
      </c>
      <c r="F23" s="13">
        <f ca="1">-(F241+F154)</f>
        <v>-2627.212</v>
      </c>
      <c r="G23" s="13">
        <f ca="1">-(G241+G154)</f>
        <v>-2627.212</v>
      </c>
      <c r="H23" s="13">
        <f ca="1">-(H241+H154)</f>
        <v>-2627.212</v>
      </c>
      <c r="I23" s="13">
        <f ca="1">-(I241+I154)</f>
        <v>-2651.712</v>
      </c>
      <c r="J23" s="13">
        <f ca="1">-(J241+J154)</f>
        <v>-2651.712</v>
      </c>
    </row>
    <row r="24" spans="2:10" x14ac:dyDescent="0.25">
      <c r="B24" s="2" t="s">
        <v>19</v>
      </c>
      <c r="C24" s="16">
        <v>2745</v>
      </c>
      <c r="D24" s="16">
        <v>2005</v>
      </c>
      <c r="E24" s="16">
        <v>1807</v>
      </c>
      <c r="F24" s="30">
        <f>E24</f>
        <v>1807</v>
      </c>
      <c r="G24" s="30">
        <f>F24</f>
        <v>1807</v>
      </c>
      <c r="H24" s="30">
        <f>G24</f>
        <v>1807</v>
      </c>
      <c r="I24" s="30">
        <f>H24</f>
        <v>1807</v>
      </c>
      <c r="J24" s="30">
        <f>I24</f>
        <v>1807</v>
      </c>
    </row>
    <row r="25" spans="2:10" x14ac:dyDescent="0.25">
      <c r="B25" s="17" t="s">
        <v>20</v>
      </c>
      <c r="C25" s="36">
        <f t="shared" ref="C25:J25" si="1">SUM(C22:C24)+C20</f>
        <v>66967</v>
      </c>
      <c r="D25" s="36">
        <f t="shared" si="1"/>
        <v>75349</v>
      </c>
      <c r="E25" s="36">
        <f t="shared" si="1"/>
        <v>67122</v>
      </c>
      <c r="F25" s="36">
        <f t="shared" ca="1" si="1"/>
        <v>75778.64072853775</v>
      </c>
      <c r="G25" s="36">
        <f t="shared" ca="1" si="1"/>
        <v>79544.996155040615</v>
      </c>
      <c r="H25" s="36">
        <f t="shared" ca="1" si="1"/>
        <v>90926.230820324825</v>
      </c>
      <c r="I25" s="36">
        <f t="shared" ca="1" si="1"/>
        <v>83310.598531829251</v>
      </c>
      <c r="J25" s="36">
        <f t="shared" ca="1" si="1"/>
        <v>85538.87315088445</v>
      </c>
    </row>
    <row r="26" spans="2:10" ht="5.25" customHeight="1" x14ac:dyDescent="0.25">
      <c r="C26" s="13"/>
      <c r="D26" s="13"/>
      <c r="E26" s="13"/>
      <c r="F26" s="13"/>
      <c r="G26" s="13"/>
      <c r="H26" s="13"/>
      <c r="I26" s="13"/>
      <c r="J26" s="13"/>
    </row>
    <row r="27" spans="2:10" x14ac:dyDescent="0.25">
      <c r="B27" s="2" t="s">
        <v>21</v>
      </c>
      <c r="C27" s="16">
        <v>-15738</v>
      </c>
      <c r="D27" s="16">
        <v>-13372</v>
      </c>
      <c r="E27" s="16">
        <v>-10481</v>
      </c>
      <c r="F27" s="30">
        <f ca="1">-(F25*F42)</f>
        <v>-15155.728145707551</v>
      </c>
      <c r="G27" s="30">
        <f ca="1">-(G25*G42)</f>
        <v>-17499.899154108934</v>
      </c>
      <c r="H27" s="30">
        <f ca="1">-(H25*H42)</f>
        <v>-23640.820013284454</v>
      </c>
      <c r="I27" s="30">
        <f ca="1">-(I25*I42)</f>
        <v>-21660.755618275605</v>
      </c>
      <c r="J27" s="30">
        <f ca="1">-(J25*J42)</f>
        <v>-22240.107019229959</v>
      </c>
    </row>
    <row r="28" spans="2:10" ht="15" customHeight="1" thickBot="1" x14ac:dyDescent="0.3">
      <c r="B28" s="19" t="s">
        <v>22</v>
      </c>
      <c r="C28" s="38">
        <f t="shared" ref="C28:J28" si="2">C27+C25</f>
        <v>51229</v>
      </c>
      <c r="D28" s="38">
        <f t="shared" si="2"/>
        <v>61977</v>
      </c>
      <c r="E28" s="38">
        <f t="shared" si="2"/>
        <v>56641</v>
      </c>
      <c r="F28" s="38">
        <f t="shared" ca="1" si="2"/>
        <v>60622.912582830199</v>
      </c>
      <c r="G28" s="38">
        <f t="shared" ca="1" si="2"/>
        <v>62045.097000931681</v>
      </c>
      <c r="H28" s="38">
        <f t="shared" ca="1" si="2"/>
        <v>67285.410807040374</v>
      </c>
      <c r="I28" s="38">
        <f t="shared" ca="1" si="2"/>
        <v>61649.842913553643</v>
      </c>
      <c r="J28" s="38">
        <f t="shared" ca="1" si="2"/>
        <v>63298.766131654491</v>
      </c>
    </row>
    <row r="29" spans="2:10" ht="5.25" customHeight="1" thickTop="1" x14ac:dyDescent="0.25"/>
    <row r="30" spans="2:10" x14ac:dyDescent="0.25">
      <c r="B30" s="2" t="s">
        <v>23</v>
      </c>
      <c r="C30" s="15">
        <v>5217.2420000000002</v>
      </c>
      <c r="D30" s="15">
        <v>4955.3770000000004</v>
      </c>
      <c r="E30" s="15">
        <v>4617.8339999999998</v>
      </c>
      <c r="F30" s="30">
        <f>AVERAGE(F254,F257)</f>
        <v>4421.8491156349355</v>
      </c>
      <c r="G30" s="30">
        <f>AVERAGE(G254,G257)</f>
        <v>4381.495217823076</v>
      </c>
      <c r="H30" s="30">
        <f>AVERAGE(H254,H257)</f>
        <v>4345.7979004410681</v>
      </c>
      <c r="I30" s="30">
        <f>AVERAGE(I254,I257)</f>
        <v>4314.2073540853071</v>
      </c>
      <c r="J30" s="30">
        <f>AVERAGE(J254,J257)</f>
        <v>4286.2511183722454</v>
      </c>
    </row>
    <row r="31" spans="2:10" x14ac:dyDescent="0.25">
      <c r="B31" s="2" t="s">
        <v>24</v>
      </c>
      <c r="C31" s="13">
        <f>C32-C30</f>
        <v>34.449999999999818</v>
      </c>
      <c r="D31" s="13">
        <f>D32-D30</f>
        <v>44.731999999999971</v>
      </c>
      <c r="E31" s="13">
        <f>E32-E30</f>
        <v>31.078999999999724</v>
      </c>
      <c r="F31" s="16">
        <v>31</v>
      </c>
      <c r="G31" s="16">
        <v>31</v>
      </c>
      <c r="H31" s="16">
        <v>31</v>
      </c>
      <c r="I31" s="16">
        <v>31</v>
      </c>
      <c r="J31" s="16">
        <v>31</v>
      </c>
    </row>
    <row r="32" spans="2:10" x14ac:dyDescent="0.25">
      <c r="B32" s="2" t="s">
        <v>25</v>
      </c>
      <c r="C32" s="16">
        <f>5251692/1000</f>
        <v>5251.692</v>
      </c>
      <c r="D32" s="16">
        <f>5000109/1000</f>
        <v>5000.1090000000004</v>
      </c>
      <c r="E32" s="16">
        <f>4648913/1000</f>
        <v>4648.9129999999996</v>
      </c>
      <c r="F32" s="30">
        <f>F30+F31</f>
        <v>4452.8491156349355</v>
      </c>
      <c r="G32" s="30">
        <f>G30+G31</f>
        <v>4412.495217823076</v>
      </c>
      <c r="H32" s="30">
        <f>H30+H31</f>
        <v>4376.7979004410681</v>
      </c>
      <c r="I32" s="30">
        <f>I30+I31</f>
        <v>4345.2073540853071</v>
      </c>
      <c r="J32" s="30">
        <f>J30+J31</f>
        <v>4317.2511183722454</v>
      </c>
    </row>
    <row r="33" spans="2:11" ht="5.25" customHeight="1" x14ac:dyDescent="0.25"/>
    <row r="34" spans="2:11" x14ac:dyDescent="0.25">
      <c r="B34" s="2" t="s">
        <v>26</v>
      </c>
      <c r="C34" s="82">
        <f t="shared" ref="C34:J34" si="3">C28/C30</f>
        <v>9.8191726586575818</v>
      </c>
      <c r="D34" s="82">
        <f t="shared" si="3"/>
        <v>12.507020152048975</v>
      </c>
      <c r="E34" s="82">
        <f t="shared" si="3"/>
        <v>12.265707255825999</v>
      </c>
      <c r="F34" s="83">
        <f t="shared" ca="1" si="3"/>
        <v>13.709855537240628</v>
      </c>
      <c r="G34" s="83">
        <f t="shared" ca="1" si="3"/>
        <v>14.160713162151636</v>
      </c>
      <c r="H34" s="83">
        <f t="shared" ca="1" si="3"/>
        <v>15.482866978285248</v>
      </c>
      <c r="I34" s="83">
        <f t="shared" ca="1" si="3"/>
        <v>14.289958236517021</v>
      </c>
      <c r="J34" s="83">
        <f t="shared" ca="1" si="3"/>
        <v>14.76786226087774</v>
      </c>
    </row>
    <row r="35" spans="2:11" x14ac:dyDescent="0.25">
      <c r="B35" s="2" t="s">
        <v>27</v>
      </c>
      <c r="C35" s="82">
        <f t="shared" ref="C35:J35" si="4">C28/C32</f>
        <v>9.7547609418069445</v>
      </c>
      <c r="D35" s="82">
        <f t="shared" si="4"/>
        <v>12.39512978617066</v>
      </c>
      <c r="E35" s="82">
        <f t="shared" si="4"/>
        <v>12.183708320633233</v>
      </c>
      <c r="F35" s="83">
        <f t="shared" ca="1" si="4"/>
        <v>13.614409787650288</v>
      </c>
      <c r="G35" s="83">
        <f t="shared" ca="1" si="4"/>
        <v>14.061227024182907</v>
      </c>
      <c r="H35" s="83">
        <f t="shared" ca="1" si="4"/>
        <v>15.373204872050351</v>
      </c>
      <c r="I35" s="83">
        <f t="shared" ca="1" si="4"/>
        <v>14.18800942965156</v>
      </c>
      <c r="J35" s="83">
        <f t="shared" ca="1" si="4"/>
        <v>14.661821699989584</v>
      </c>
    </row>
    <row r="36" spans="2:11" ht="5.25" customHeight="1" x14ac:dyDescent="0.25"/>
    <row r="37" spans="2:11" x14ac:dyDescent="0.25">
      <c r="B37" s="3" t="s">
        <v>28</v>
      </c>
    </row>
    <row r="38" spans="2:11" ht="15" customHeight="1" x14ac:dyDescent="0.25">
      <c r="B38" s="2" t="s">
        <v>29</v>
      </c>
      <c r="C38" s="21"/>
      <c r="D38" s="24">
        <f>D14/C14-1</f>
        <v>0.15861957650261305</v>
      </c>
      <c r="E38" s="24">
        <f>E14/D14-1</f>
        <v>-2.04107758052674E-2</v>
      </c>
      <c r="F38" s="66">
        <f ca="1">'Scenario Assumptions'!C4</f>
        <v>1.2500000000000001E-2</v>
      </c>
      <c r="G38" s="66">
        <f ca="1">'Scenario Assumptions'!D4</f>
        <v>0.04</v>
      </c>
      <c r="H38" s="66">
        <f ca="1">'Scenario Assumptions'!E4</f>
        <v>0.05</v>
      </c>
      <c r="I38" s="66">
        <f ca="1">'Scenario Assumptions'!F4</f>
        <v>0.05</v>
      </c>
      <c r="J38" s="66">
        <f ca="1">'Scenario Assumptions'!G4</f>
        <v>0.05</v>
      </c>
    </row>
    <row r="39" spans="2:11" ht="15" customHeight="1" x14ac:dyDescent="0.25">
      <c r="B39" s="2" t="s">
        <v>30</v>
      </c>
      <c r="C39" s="24">
        <f>C16/C14</f>
        <v>0.38469860491899105</v>
      </c>
      <c r="D39" s="24">
        <f>D16/D14</f>
        <v>0.38343718820007905</v>
      </c>
      <c r="E39" s="24">
        <f>E16/E14</f>
        <v>0.37817768109034722</v>
      </c>
      <c r="F39" s="66">
        <f ca="1">'Scenario Assumptions'!C5</f>
        <v>0.4</v>
      </c>
      <c r="G39" s="66">
        <f ca="1">'Scenario Assumptions'!D5</f>
        <v>0.4</v>
      </c>
      <c r="H39" s="66">
        <f ca="1">'Scenario Assumptions'!E5</f>
        <v>0.42499999999999999</v>
      </c>
      <c r="I39" s="66">
        <f ca="1">'Scenario Assumptions'!F5</f>
        <v>0.38</v>
      </c>
      <c r="J39" s="66">
        <f ca="1">'Scenario Assumptions'!G5</f>
        <v>0.37</v>
      </c>
    </row>
    <row r="40" spans="2:11" ht="15" customHeight="1" x14ac:dyDescent="0.25">
      <c r="B40" s="2" t="s">
        <v>31</v>
      </c>
      <c r="C40" s="24">
        <f>-C18/C14</f>
        <v>5.0520428906706681E-2</v>
      </c>
      <c r="D40" s="24">
        <f>-D18/D14</f>
        <v>5.3600406634161032E-2</v>
      </c>
      <c r="E40" s="24">
        <f>-E18/E14</f>
        <v>6.233136285716482E-2</v>
      </c>
      <c r="F40" s="66">
        <f ca="1">'Scenario Assumptions'!C6</f>
        <v>0.06</v>
      </c>
      <c r="G40" s="66">
        <f ca="1">'Scenario Assumptions'!D6</f>
        <v>0.06</v>
      </c>
      <c r="H40" s="66">
        <f ca="1">'Scenario Assumptions'!E6</f>
        <v>6.5000000000000002E-2</v>
      </c>
      <c r="I40" s="66">
        <f ca="1">'Scenario Assumptions'!F6</f>
        <v>6.5000000000000002E-2</v>
      </c>
      <c r="J40" s="66">
        <f ca="1">'Scenario Assumptions'!G6</f>
        <v>6.25E-2</v>
      </c>
    </row>
    <row r="41" spans="2:11" ht="15" customHeight="1" x14ac:dyDescent="0.25">
      <c r="B41" s="2" t="s">
        <v>32</v>
      </c>
      <c r="C41" s="24">
        <f>-C19/C14</f>
        <v>6.6573893924984945E-2</v>
      </c>
      <c r="D41" s="24">
        <f>-D19/D14</f>
        <v>6.2896515371147807E-2</v>
      </c>
      <c r="E41" s="24">
        <f>-E19/E14</f>
        <v>7.0126146348213125E-2</v>
      </c>
      <c r="F41" s="66">
        <f ca="1">'Scenario Assumptions'!C7</f>
        <v>6.8000000000000005E-2</v>
      </c>
      <c r="G41" s="66">
        <f ca="1">'Scenario Assumptions'!D7</f>
        <v>6.8000000000000005E-2</v>
      </c>
      <c r="H41" s="66">
        <f ca="1">'Scenario Assumptions'!E7</f>
        <v>6.5000000000000002E-2</v>
      </c>
      <c r="I41" s="66">
        <f ca="1">'Scenario Assumptions'!F7</f>
        <v>6.25E-2</v>
      </c>
      <c r="J41" s="66">
        <f ca="1">'Scenario Assumptions'!G7</f>
        <v>6.25E-2</v>
      </c>
    </row>
    <row r="42" spans="2:11" x14ac:dyDescent="0.25">
      <c r="B42" s="2" t="s">
        <v>33</v>
      </c>
      <c r="C42" s="24">
        <f>-C27/C25</f>
        <v>0.23501127420968537</v>
      </c>
      <c r="D42" s="24">
        <f>-D27/D25</f>
        <v>0.17746751781709114</v>
      </c>
      <c r="E42" s="24">
        <f>-E27/E25</f>
        <v>0.15614850570602784</v>
      </c>
      <c r="F42" s="25">
        <v>0.2</v>
      </c>
      <c r="G42" s="25">
        <v>0.22</v>
      </c>
      <c r="H42" s="25">
        <v>0.26</v>
      </c>
      <c r="I42" s="25">
        <v>0.26</v>
      </c>
      <c r="J42" s="25">
        <v>0.26</v>
      </c>
    </row>
    <row r="43" spans="2:11" ht="5.25" customHeight="1" x14ac:dyDescent="0.25"/>
    <row r="44" spans="2:11" x14ac:dyDescent="0.25">
      <c r="B44" s="3" t="s">
        <v>34</v>
      </c>
    </row>
    <row r="45" spans="2:11" x14ac:dyDescent="0.25">
      <c r="B45" s="2" t="s">
        <v>35</v>
      </c>
      <c r="C45" s="16">
        <v>10157</v>
      </c>
      <c r="D45" s="16">
        <v>10903</v>
      </c>
      <c r="E45" s="16">
        <v>12547</v>
      </c>
      <c r="F45" s="30">
        <f ca="1">-('Depreciation Waterfall'!F6)</f>
        <v>10744.565885833334</v>
      </c>
      <c r="G45" s="30">
        <f ca="1">-('Depreciation Waterfall'!G6)</f>
        <v>11187.766270666667</v>
      </c>
      <c r="H45" s="30">
        <f ca="1">-('Depreciation Waterfall'!H6)</f>
        <v>11792.710326949998</v>
      </c>
      <c r="I45" s="30">
        <f ca="1">-('Depreciation Waterfall'!I6)</f>
        <v>12675.042145508334</v>
      </c>
      <c r="J45" s="30">
        <f ca="1">-('Depreciation Waterfall'!J6)</f>
        <v>13848.631114455417</v>
      </c>
      <c r="K45" s="20"/>
    </row>
    <row r="46" spans="2:11" x14ac:dyDescent="0.25">
      <c r="B46" s="2" t="s">
        <v>36</v>
      </c>
      <c r="C46" s="16">
        <v>4909</v>
      </c>
      <c r="D46" s="16">
        <v>5443</v>
      </c>
      <c r="E46" s="16">
        <v>6194</v>
      </c>
      <c r="F46" s="30">
        <f ca="1">F169</f>
        <v>5753.2276619999993</v>
      </c>
      <c r="G46" s="30">
        <f ca="1">G169</f>
        <v>5983.35676848</v>
      </c>
      <c r="H46" s="30">
        <f ca="1">H169</f>
        <v>5678.4357023940011</v>
      </c>
      <c r="I46" s="30">
        <f ca="1">I169</f>
        <v>5644.455701515315</v>
      </c>
      <c r="J46" s="30">
        <f ca="1">J169</f>
        <v>5986.1434881287832</v>
      </c>
    </row>
    <row r="47" spans="2:11" x14ac:dyDescent="0.25">
      <c r="B47" s="17" t="s">
        <v>37</v>
      </c>
      <c r="C47" s="36">
        <f t="shared" ref="C47:J47" si="5">C20+C45+C46</f>
        <v>76410</v>
      </c>
      <c r="D47" s="36">
        <f t="shared" si="5"/>
        <v>87244</v>
      </c>
      <c r="E47" s="36">
        <f t="shared" si="5"/>
        <v>82671</v>
      </c>
      <c r="F47" s="36">
        <f t="shared" ca="1" si="5"/>
        <v>88149.713147833332</v>
      </c>
      <c r="G47" s="36">
        <f t="shared" ca="1" si="5"/>
        <v>91689.11942314668</v>
      </c>
      <c r="H47" s="36">
        <f t="shared" ca="1" si="5"/>
        <v>102331.25404384399</v>
      </c>
      <c r="I47" s="36">
        <f t="shared" ca="1" si="5"/>
        <v>94585.722041411151</v>
      </c>
      <c r="J47" s="36">
        <f t="shared" ca="1" si="5"/>
        <v>97535.709945182971</v>
      </c>
    </row>
    <row r="48" spans="2:11" ht="5.25" customHeight="1" x14ac:dyDescent="0.25"/>
    <row r="49" spans="1:10" ht="28.5" x14ac:dyDescent="0.45">
      <c r="A49" s="44" t="s">
        <v>137</v>
      </c>
      <c r="B49" s="14" t="s">
        <v>39</v>
      </c>
      <c r="C49" s="1"/>
      <c r="D49" s="1"/>
      <c r="E49" s="1"/>
      <c r="F49" s="1"/>
      <c r="G49" s="1"/>
      <c r="H49" s="1"/>
      <c r="I49" s="1"/>
      <c r="J49" s="1"/>
    </row>
    <row r="50" spans="1:10" ht="5.25" customHeight="1" x14ac:dyDescent="0.25"/>
    <row r="51" spans="1:10" x14ac:dyDescent="0.25">
      <c r="B51" s="3" t="s">
        <v>59</v>
      </c>
    </row>
    <row r="52" spans="1:10" ht="15.75" x14ac:dyDescent="0.25">
      <c r="B52" s="26" t="s">
        <v>40</v>
      </c>
      <c r="D52" s="79">
        <v>237100</v>
      </c>
      <c r="E52" s="79">
        <v>205898</v>
      </c>
      <c r="F52" s="81">
        <f ca="1">E52+F222</f>
        <v>245876.7149349562</v>
      </c>
      <c r="G52" s="81">
        <f ca="1">F52+G222</f>
        <v>288115.22762577637</v>
      </c>
      <c r="H52" s="81">
        <f ca="1">G52+H222</f>
        <v>340773.79573786247</v>
      </c>
      <c r="I52" s="81">
        <f ca="1">H52+I222</f>
        <v>379690.70996245428</v>
      </c>
      <c r="J52" s="81">
        <f ca="1">I52+J222</f>
        <v>413245.34558880696</v>
      </c>
    </row>
    <row r="53" spans="1:10" ht="15.75" x14ac:dyDescent="0.25">
      <c r="B53" s="26" t="s">
        <v>41</v>
      </c>
      <c r="D53" s="16">
        <v>23186</v>
      </c>
      <c r="E53" s="16">
        <v>22926</v>
      </c>
      <c r="F53" s="30">
        <f ca="1">F89</f>
        <v>23181.503399999998</v>
      </c>
      <c r="G53" s="30">
        <f ca="1">G89</f>
        <v>23834.800314</v>
      </c>
      <c r="H53" s="30">
        <f ca="1">H89</f>
        <v>25026.540329700001</v>
      </c>
      <c r="I53" s="30">
        <f ca="1">I89</f>
        <v>25673.778441675007</v>
      </c>
      <c r="J53" s="30">
        <f ca="1">J89</f>
        <v>26957.467363758758</v>
      </c>
    </row>
    <row r="54" spans="1:10" ht="15.75" x14ac:dyDescent="0.25">
      <c r="B54" s="26" t="s">
        <v>42</v>
      </c>
      <c r="D54" s="16">
        <v>3956</v>
      </c>
      <c r="E54" s="16">
        <v>4106</v>
      </c>
      <c r="F54" s="30">
        <f ca="1">F97</f>
        <v>3951.392625</v>
      </c>
      <c r="G54" s="30">
        <f ca="1">G97</f>
        <v>4109.4483300000002</v>
      </c>
      <c r="H54" s="30">
        <f ca="1">H97</f>
        <v>4135.1323820625012</v>
      </c>
      <c r="I54" s="30">
        <f ca="1">I97</f>
        <v>4307.1538891563014</v>
      </c>
      <c r="J54" s="30">
        <f ca="1">J97</f>
        <v>4595.4553188336986</v>
      </c>
    </row>
    <row r="55" spans="1:10" ht="15.75" x14ac:dyDescent="0.25">
      <c r="B55" s="26" t="s">
        <v>90</v>
      </c>
      <c r="D55" s="16">
        <v>37896</v>
      </c>
      <c r="E55" s="16">
        <v>35230</v>
      </c>
      <c r="F55" s="30">
        <f>F134</f>
        <v>35230</v>
      </c>
      <c r="G55" s="30">
        <f>G134</f>
        <v>35230</v>
      </c>
      <c r="H55" s="30">
        <f>H134</f>
        <v>35230</v>
      </c>
      <c r="I55" s="30">
        <f>I134</f>
        <v>35230</v>
      </c>
      <c r="J55" s="30">
        <f>J134</f>
        <v>35230</v>
      </c>
    </row>
    <row r="56" spans="1:10" ht="15.75" customHeight="1" x14ac:dyDescent="0.25">
      <c r="B56" s="26" t="s">
        <v>43</v>
      </c>
      <c r="D56" s="16">
        <v>41304</v>
      </c>
      <c r="E56" s="16">
        <v>37378</v>
      </c>
      <c r="F56" s="91">
        <f ca="1">'Depreciation Waterfall'!F7</f>
        <v>37960.759639166667</v>
      </c>
      <c r="G56" s="91">
        <f ca="1">'Depreciation Waterfall'!G7</f>
        <v>39101.338358499997</v>
      </c>
      <c r="H56" s="91">
        <f ca="1">'Depreciation Waterfall'!H7</f>
        <v>40253.390271049997</v>
      </c>
      <c r="I56" s="91">
        <f ca="1">'Depreciation Waterfall'!I7</f>
        <v>42680.570738291666</v>
      </c>
      <c r="J56" s="91">
        <f ca="1">'Depreciation Waterfall'!J7</f>
        <v>44689.273367223752</v>
      </c>
    </row>
    <row r="57" spans="1:10" ht="15.75" x14ac:dyDescent="0.25">
      <c r="B57" s="26" t="s">
        <v>62</v>
      </c>
      <c r="D57" s="16">
        <v>22283</v>
      </c>
      <c r="E57" s="16">
        <v>32978</v>
      </c>
      <c r="F57" s="30">
        <f>F139</f>
        <v>32978</v>
      </c>
      <c r="G57" s="30">
        <f>G139</f>
        <v>32978</v>
      </c>
      <c r="H57" s="30">
        <f>H139</f>
        <v>32978</v>
      </c>
      <c r="I57" s="30">
        <f>I139</f>
        <v>32978</v>
      </c>
      <c r="J57" s="30">
        <f>J139</f>
        <v>32978</v>
      </c>
    </row>
    <row r="58" spans="1:10" s="3" customFormat="1" ht="16.5" customHeight="1" thickBot="1" x14ac:dyDescent="0.3">
      <c r="B58" s="29" t="s">
        <v>85</v>
      </c>
      <c r="C58" s="19"/>
      <c r="D58" s="38">
        <f t="shared" ref="D58:J58" si="6">SUM(D52:D57)</f>
        <v>365725</v>
      </c>
      <c r="E58" s="35">
        <f t="shared" si="6"/>
        <v>338516</v>
      </c>
      <c r="F58" s="35">
        <f t="shared" ca="1" si="6"/>
        <v>379178.37059912283</v>
      </c>
      <c r="G58" s="35">
        <f t="shared" ca="1" si="6"/>
        <v>423368.81462827633</v>
      </c>
      <c r="H58" s="35">
        <f t="shared" ca="1" si="6"/>
        <v>478396.85872067494</v>
      </c>
      <c r="I58" s="35">
        <f t="shared" ca="1" si="6"/>
        <v>520560.21303157724</v>
      </c>
      <c r="J58" s="35">
        <f t="shared" ca="1" si="6"/>
        <v>557695.54163862322</v>
      </c>
    </row>
    <row r="59" spans="1:10" ht="5.25" customHeight="1" thickTop="1" x14ac:dyDescent="0.25">
      <c r="B59" s="26"/>
      <c r="D59" s="13"/>
      <c r="E59" s="13"/>
      <c r="F59" s="13"/>
      <c r="G59" s="13"/>
      <c r="H59" s="13"/>
      <c r="I59" s="13"/>
      <c r="J59" s="13"/>
    </row>
    <row r="60" spans="1:10" ht="15.75" x14ac:dyDescent="0.25">
      <c r="B60" s="27" t="s">
        <v>60</v>
      </c>
      <c r="D60" s="13"/>
      <c r="E60" s="13"/>
      <c r="F60" s="13"/>
      <c r="G60" s="13"/>
      <c r="H60" s="13"/>
      <c r="I60" s="13"/>
      <c r="J60" s="13"/>
    </row>
    <row r="61" spans="1:10" ht="15.75" x14ac:dyDescent="0.25">
      <c r="B61" s="26" t="s">
        <v>44</v>
      </c>
      <c r="D61" s="16">
        <v>55888</v>
      </c>
      <c r="E61" s="16">
        <v>46236</v>
      </c>
      <c r="F61" s="30">
        <f ca="1">F105</f>
        <v>44782.44975</v>
      </c>
      <c r="G61" s="30">
        <f ca="1">G105</f>
        <v>47943.563849999999</v>
      </c>
      <c r="H61" s="30">
        <f ca="1">H105</f>
        <v>54655.662789000009</v>
      </c>
      <c r="I61" s="30">
        <f ca="1">I105</f>
        <v>60408.890451000014</v>
      </c>
      <c r="J61" s="30">
        <f ca="1">J105</f>
        <v>57086.401476195017</v>
      </c>
    </row>
    <row r="62" spans="1:10" ht="15.75" x14ac:dyDescent="0.25">
      <c r="B62" s="26" t="s">
        <v>45</v>
      </c>
      <c r="D62" s="16">
        <v>17930</v>
      </c>
      <c r="E62" s="16">
        <v>11502</v>
      </c>
      <c r="F62" s="30">
        <f ca="1">F113</f>
        <v>13171.30875</v>
      </c>
      <c r="G62" s="30">
        <f ca="1">G113</f>
        <v>13698.161100000001</v>
      </c>
      <c r="H62" s="30">
        <f ca="1">H113</f>
        <v>17259.682986</v>
      </c>
      <c r="I62" s="30">
        <f ca="1">I113</f>
        <v>18726.756039810003</v>
      </c>
      <c r="J62" s="30">
        <f ca="1">J113</f>
        <v>19663.093841800506</v>
      </c>
    </row>
    <row r="63" spans="1:10" ht="15.75" x14ac:dyDescent="0.25">
      <c r="B63" s="26" t="s">
        <v>46</v>
      </c>
      <c r="D63" s="16">
        <v>0</v>
      </c>
      <c r="E63" s="16">
        <v>0</v>
      </c>
      <c r="F63" s="13">
        <f ca="1">F228</f>
        <v>0</v>
      </c>
      <c r="G63" s="13">
        <f ca="1">G228</f>
        <v>0</v>
      </c>
      <c r="H63" s="13">
        <f ca="1">H228</f>
        <v>0</v>
      </c>
      <c r="I63" s="13">
        <f ca="1">I228</f>
        <v>0</v>
      </c>
      <c r="J63" s="13">
        <f ca="1">J228</f>
        <v>0</v>
      </c>
    </row>
    <row r="64" spans="1:10" ht="15.75" x14ac:dyDescent="0.25">
      <c r="B64" s="26" t="s">
        <v>47</v>
      </c>
      <c r="D64" s="16">
        <v>102519</v>
      </c>
      <c r="E64" s="16">
        <v>102067</v>
      </c>
      <c r="F64" s="30">
        <f>F152</f>
        <v>102067</v>
      </c>
      <c r="G64" s="30">
        <f>G152</f>
        <v>102067</v>
      </c>
      <c r="H64" s="30">
        <f>H152</f>
        <v>104817</v>
      </c>
      <c r="I64" s="30">
        <f>I152</f>
        <v>104817</v>
      </c>
      <c r="J64" s="30">
        <f>J152</f>
        <v>104817</v>
      </c>
    </row>
    <row r="65" spans="2:10" ht="15.75" x14ac:dyDescent="0.25">
      <c r="B65" s="26" t="s">
        <v>63</v>
      </c>
      <c r="D65" s="16">
        <v>82241</v>
      </c>
      <c r="E65" s="16">
        <v>88223</v>
      </c>
      <c r="F65" s="30">
        <f>F144</f>
        <v>93223</v>
      </c>
      <c r="G65" s="30">
        <f>G144</f>
        <v>98223</v>
      </c>
      <c r="H65" s="30">
        <f>H144</f>
        <v>103223</v>
      </c>
      <c r="I65" s="30">
        <f>I144</f>
        <v>108223</v>
      </c>
      <c r="J65" s="30">
        <f>J144</f>
        <v>113223</v>
      </c>
    </row>
    <row r="66" spans="2:10" s="3" customFormat="1" ht="16.5" thickBot="1" x14ac:dyDescent="0.3">
      <c r="B66" s="29" t="s">
        <v>86</v>
      </c>
      <c r="C66" s="19"/>
      <c r="D66" s="38">
        <f t="shared" ref="D66:J66" si="7">SUM(D61:D65)</f>
        <v>258578</v>
      </c>
      <c r="E66" s="38">
        <f t="shared" si="7"/>
        <v>248028</v>
      </c>
      <c r="F66" s="38">
        <f t="shared" ca="1" si="7"/>
        <v>253243.7585</v>
      </c>
      <c r="G66" s="38">
        <f t="shared" ca="1" si="7"/>
        <v>261931.72495</v>
      </c>
      <c r="H66" s="38">
        <f t="shared" ca="1" si="7"/>
        <v>279955.34577499999</v>
      </c>
      <c r="I66" s="38">
        <f t="shared" ca="1" si="7"/>
        <v>292175.64649081003</v>
      </c>
      <c r="J66" s="38">
        <f t="shared" ca="1" si="7"/>
        <v>294789.49531799555</v>
      </c>
    </row>
    <row r="67" spans="2:10" ht="5.25" customHeight="1" thickTop="1" x14ac:dyDescent="0.25">
      <c r="B67" s="26"/>
      <c r="D67" s="13"/>
      <c r="E67" s="13"/>
      <c r="F67" s="13"/>
      <c r="G67" s="13"/>
      <c r="H67" s="13"/>
      <c r="I67" s="13"/>
      <c r="J67" s="13"/>
    </row>
    <row r="68" spans="2:10" ht="15.75" x14ac:dyDescent="0.25">
      <c r="B68" s="27" t="s">
        <v>61</v>
      </c>
      <c r="D68" s="13"/>
      <c r="E68" s="13"/>
      <c r="F68" s="13"/>
      <c r="G68" s="13"/>
      <c r="H68" s="13"/>
      <c r="I68" s="13"/>
      <c r="J68" s="13"/>
    </row>
    <row r="69" spans="2:10" ht="15.75" x14ac:dyDescent="0.25">
      <c r="B69" s="26" t="s">
        <v>48</v>
      </c>
      <c r="D69" s="16">
        <v>40201</v>
      </c>
      <c r="E69" s="16">
        <v>45174</v>
      </c>
      <c r="F69" s="30">
        <f ca="1">F166</f>
        <v>50927.227661999998</v>
      </c>
      <c r="G69" s="30">
        <f ca="1">G166</f>
        <v>56910.584430479998</v>
      </c>
      <c r="H69" s="30">
        <f ca="1">H166</f>
        <v>62589.020132874</v>
      </c>
      <c r="I69" s="30">
        <f ca="1">I166</f>
        <v>68233.475834389319</v>
      </c>
      <c r="J69" s="30">
        <f ca="1">J166</f>
        <v>74219.619322518105</v>
      </c>
    </row>
    <row r="70" spans="2:10" ht="15.75" x14ac:dyDescent="0.25">
      <c r="B70" s="26" t="s">
        <v>49</v>
      </c>
      <c r="D70" s="16">
        <v>0</v>
      </c>
      <c r="E70" s="16">
        <v>0</v>
      </c>
      <c r="F70" s="30">
        <f>F175</f>
        <v>-15773.8</v>
      </c>
      <c r="G70" s="30">
        <f>G175</f>
        <v>-31547.599999999999</v>
      </c>
      <c r="H70" s="30">
        <f>H175</f>
        <v>-47321.399999999994</v>
      </c>
      <c r="I70" s="30">
        <f>I175</f>
        <v>-63095.199999999997</v>
      </c>
      <c r="J70" s="30">
        <f>J175</f>
        <v>-78869</v>
      </c>
    </row>
    <row r="71" spans="2:10" ht="15.75" x14ac:dyDescent="0.25">
      <c r="B71" s="26" t="s">
        <v>50</v>
      </c>
      <c r="D71" s="16">
        <v>70400</v>
      </c>
      <c r="E71" s="16">
        <v>45898</v>
      </c>
      <c r="F71" s="30">
        <f ca="1">F185</f>
        <v>91365.184437122298</v>
      </c>
      <c r="G71" s="30">
        <f ca="1">G185</f>
        <v>136658.10524781502</v>
      </c>
      <c r="H71" s="30">
        <f ca="1">H185</f>
        <v>183757.89281253071</v>
      </c>
      <c r="I71" s="30">
        <f ca="1">I185</f>
        <v>223830.29070774277</v>
      </c>
      <c r="J71" s="30">
        <f ca="1">J185</f>
        <v>268139.42699295812</v>
      </c>
    </row>
    <row r="72" spans="2:10" ht="15.75" x14ac:dyDescent="0.25">
      <c r="B72" s="26" t="s">
        <v>51</v>
      </c>
      <c r="D72" s="16">
        <v>-3454</v>
      </c>
      <c r="E72" s="16">
        <v>-584</v>
      </c>
      <c r="F72" s="30">
        <f>F194</f>
        <v>-584</v>
      </c>
      <c r="G72" s="30">
        <f>G194</f>
        <v>-584</v>
      </c>
      <c r="H72" s="30">
        <f>H194</f>
        <v>-584</v>
      </c>
      <c r="I72" s="30">
        <f>I194</f>
        <v>-584</v>
      </c>
      <c r="J72" s="30">
        <f>J194</f>
        <v>-584</v>
      </c>
    </row>
    <row r="73" spans="2:10" s="3" customFormat="1" ht="16.5" thickBot="1" x14ac:dyDescent="0.3">
      <c r="B73" s="29" t="s">
        <v>87</v>
      </c>
      <c r="C73" s="19"/>
      <c r="D73" s="38">
        <f t="shared" ref="D73:J73" si="8">SUM(D69:D72)</f>
        <v>107147</v>
      </c>
      <c r="E73" s="38">
        <f t="shared" si="8"/>
        <v>90488</v>
      </c>
      <c r="F73" s="38">
        <f t="shared" ca="1" si="8"/>
        <v>125934.6120991223</v>
      </c>
      <c r="G73" s="38">
        <f t="shared" ca="1" si="8"/>
        <v>161437.08967829501</v>
      </c>
      <c r="H73" s="38">
        <f t="shared" ca="1" si="8"/>
        <v>198441.51294540471</v>
      </c>
      <c r="I73" s="38">
        <f t="shared" ca="1" si="8"/>
        <v>228384.56654213209</v>
      </c>
      <c r="J73" s="38">
        <f t="shared" ca="1" si="8"/>
        <v>262906.04631547624</v>
      </c>
    </row>
    <row r="74" spans="2:10" ht="5.25" customHeight="1" thickTop="1" x14ac:dyDescent="0.25">
      <c r="B74" s="26"/>
    </row>
    <row r="75" spans="2:10" ht="15.75" x14ac:dyDescent="0.25">
      <c r="B75" s="28" t="s">
        <v>52</v>
      </c>
      <c r="D75" s="67" t="str">
        <f t="shared" ref="D75:J75" si="9">IF(ROUND(D58-(D66+D73),3)=0,"OK","NO")</f>
        <v>OK</v>
      </c>
      <c r="E75" s="67" t="str">
        <f t="shared" si="9"/>
        <v>OK</v>
      </c>
      <c r="F75" s="67" t="str">
        <f t="shared" ca="1" si="9"/>
        <v>OK</v>
      </c>
      <c r="G75" s="67" t="str">
        <f t="shared" ca="1" si="9"/>
        <v>OK</v>
      </c>
      <c r="H75" s="67" t="str">
        <f t="shared" ca="1" si="9"/>
        <v>OK</v>
      </c>
      <c r="I75" s="67" t="str">
        <f t="shared" ca="1" si="9"/>
        <v>OK</v>
      </c>
      <c r="J75" s="67" t="str">
        <f t="shared" ca="1" si="9"/>
        <v>OK</v>
      </c>
    </row>
    <row r="76" spans="2:10" ht="5.25" customHeight="1" x14ac:dyDescent="0.25">
      <c r="B76" s="26"/>
    </row>
    <row r="77" spans="2:10" ht="15.75" x14ac:dyDescent="0.25">
      <c r="B77" s="27" t="s">
        <v>53</v>
      </c>
    </row>
    <row r="78" spans="2:10" ht="15.75" x14ac:dyDescent="0.25">
      <c r="B78" s="26" t="s">
        <v>54</v>
      </c>
      <c r="D78" s="30">
        <f t="shared" ref="D78:J78" si="10">D64+D63-D52</f>
        <v>-134581</v>
      </c>
      <c r="E78" s="30">
        <f t="shared" si="10"/>
        <v>-103831</v>
      </c>
      <c r="F78" s="30">
        <f t="shared" ca="1" si="10"/>
        <v>-143809.7149349562</v>
      </c>
      <c r="G78" s="30">
        <f t="shared" ca="1" si="10"/>
        <v>-186048.22762577637</v>
      </c>
      <c r="H78" s="30">
        <f t="shared" ca="1" si="10"/>
        <v>-235956.79573786247</v>
      </c>
      <c r="I78" s="30">
        <f t="shared" ca="1" si="10"/>
        <v>-274873.70996245428</v>
      </c>
      <c r="J78" s="30">
        <f t="shared" ca="1" si="10"/>
        <v>-308428.34558880696</v>
      </c>
    </row>
    <row r="79" spans="2:10" ht="15.75" x14ac:dyDescent="0.25">
      <c r="B79" s="26" t="s">
        <v>55</v>
      </c>
      <c r="D79" s="33">
        <f t="shared" ref="D79:J79" si="11">D14/D58</f>
        <v>0.7262150522933899</v>
      </c>
      <c r="E79" s="33">
        <f t="shared" si="11"/>
        <v>0.76857223883066084</v>
      </c>
      <c r="F79" s="33">
        <f t="shared" ca="1" si="11"/>
        <v>0.69472890709396751</v>
      </c>
      <c r="G79" s="33">
        <f t="shared" ca="1" si="11"/>
        <v>0.64710298098017327</v>
      </c>
      <c r="H79" s="33">
        <f t="shared" ca="1" si="11"/>
        <v>0.60130282600362761</v>
      </c>
      <c r="I79" s="33">
        <f t="shared" ca="1" si="11"/>
        <v>0.58022961550593577</v>
      </c>
      <c r="J79" s="33">
        <f t="shared" ca="1" si="11"/>
        <v>0.56867349869053729</v>
      </c>
    </row>
    <row r="80" spans="2:10" ht="15.75" x14ac:dyDescent="0.25">
      <c r="B80" s="26" t="s">
        <v>56</v>
      </c>
      <c r="D80" s="24">
        <f t="shared" ref="D80:J80" si="12">D28/D14</f>
        <v>0.23335153146708335</v>
      </c>
      <c r="E80" s="24">
        <f t="shared" si="12"/>
        <v>0.21770430558011178</v>
      </c>
      <c r="F80" s="24">
        <f t="shared" ca="1" si="12"/>
        <v>0.23013245583067135</v>
      </c>
      <c r="G80" s="24">
        <f t="shared" ca="1" si="12"/>
        <v>0.2264723583990105</v>
      </c>
      <c r="H80" s="24">
        <f t="shared" ca="1" si="12"/>
        <v>0.23390491306804945</v>
      </c>
      <c r="I80" s="24">
        <f t="shared" ca="1" si="12"/>
        <v>0.20410850937101788</v>
      </c>
      <c r="J80" s="24">
        <f t="shared" ca="1" si="12"/>
        <v>0.19958830140044831</v>
      </c>
    </row>
    <row r="81" spans="1:10" ht="15.75" x14ac:dyDescent="0.25">
      <c r="B81" s="26" t="s">
        <v>57</v>
      </c>
      <c r="D81" s="24">
        <f t="shared" ref="D81:J81" si="13">D28/D58</f>
        <v>0.16946339462711055</v>
      </c>
      <c r="E81" s="24">
        <f t="shared" si="13"/>
        <v>0.16732148554278084</v>
      </c>
      <c r="F81" s="24">
        <f t="shared" ca="1" si="13"/>
        <v>0.15987966952609306</v>
      </c>
      <c r="G81" s="24">
        <f t="shared" ca="1" si="13"/>
        <v>0.14655093822960988</v>
      </c>
      <c r="H81" s="24">
        <f t="shared" ca="1" si="13"/>
        <v>0.14064768524395099</v>
      </c>
      <c r="I81" s="24">
        <f t="shared" ca="1" si="13"/>
        <v>0.11842980191383538</v>
      </c>
      <c r="J81" s="24">
        <f t="shared" ca="1" si="13"/>
        <v>0.1135005776550944</v>
      </c>
    </row>
    <row r="82" spans="1:10" ht="15.75" x14ac:dyDescent="0.25">
      <c r="B82" s="26" t="s">
        <v>58</v>
      </c>
      <c r="D82" s="24">
        <f t="shared" ref="D82:J82" si="14">D28/D73</f>
        <v>0.57842963405414993</v>
      </c>
      <c r="E82" s="24">
        <f t="shared" si="14"/>
        <v>0.62595040226328358</v>
      </c>
      <c r="F82" s="24">
        <f t="shared" ca="1" si="14"/>
        <v>0.48138404186383887</v>
      </c>
      <c r="G82" s="24">
        <f t="shared" ca="1" si="14"/>
        <v>0.38432987812511066</v>
      </c>
      <c r="H82" s="24">
        <f t="shared" ca="1" si="14"/>
        <v>0.33906922905567627</v>
      </c>
      <c r="I82" s="24">
        <f t="shared" ca="1" si="14"/>
        <v>0.26993874344035662</v>
      </c>
      <c r="J82" s="24">
        <f t="shared" ca="1" si="14"/>
        <v>0.24076572988244865</v>
      </c>
    </row>
    <row r="83" spans="1:10" ht="5.25" customHeight="1" x14ac:dyDescent="0.25"/>
    <row r="84" spans="1:10" ht="23.25" x14ac:dyDescent="0.35">
      <c r="A84" s="22"/>
      <c r="B84" s="23" t="s">
        <v>64</v>
      </c>
      <c r="C84" s="22"/>
      <c r="D84" s="22"/>
      <c r="E84" s="22"/>
      <c r="F84" s="22"/>
      <c r="G84" s="22"/>
      <c r="H84" s="22"/>
      <c r="I84" s="22"/>
      <c r="J84" s="22"/>
    </row>
    <row r="85" spans="1:10" ht="5.25" customHeight="1" outlineLevel="1" x14ac:dyDescent="0.25"/>
    <row r="86" spans="1:10" outlineLevel="1" x14ac:dyDescent="0.25">
      <c r="B86" s="3" t="s">
        <v>75</v>
      </c>
    </row>
    <row r="87" spans="1:10" outlineLevel="1" x14ac:dyDescent="0.25">
      <c r="B87" s="2" t="s">
        <v>65</v>
      </c>
      <c r="F87" s="30">
        <f>E89</f>
        <v>22926</v>
      </c>
      <c r="G87" s="30">
        <f ca="1">F89</f>
        <v>23181.503399999998</v>
      </c>
      <c r="H87" s="30">
        <f ca="1">G89</f>
        <v>23834.800314</v>
      </c>
      <c r="I87" s="30">
        <f ca="1">H89</f>
        <v>25026.540329700001</v>
      </c>
      <c r="J87" s="30">
        <f ca="1">I89</f>
        <v>25673.778441675007</v>
      </c>
    </row>
    <row r="88" spans="1:10" outlineLevel="1" x14ac:dyDescent="0.25">
      <c r="B88" s="2" t="s">
        <v>66</v>
      </c>
      <c r="F88" s="30">
        <f ca="1">F89-F87</f>
        <v>255.50339999999778</v>
      </c>
      <c r="G88" s="30">
        <f ca="1">G89-G87</f>
        <v>653.29691400000229</v>
      </c>
      <c r="H88" s="30">
        <f ca="1">H89-H87</f>
        <v>1191.7400157000011</v>
      </c>
      <c r="I88" s="30">
        <f ca="1">I89-I87</f>
        <v>647.23811197500618</v>
      </c>
      <c r="J88" s="30">
        <f ca="1">J89-J87</f>
        <v>1283.6889220837511</v>
      </c>
    </row>
    <row r="89" spans="1:10" outlineLevel="1" x14ac:dyDescent="0.25">
      <c r="B89" s="17" t="s">
        <v>67</v>
      </c>
      <c r="C89" s="17"/>
      <c r="D89" s="36">
        <f>D53</f>
        <v>23186</v>
      </c>
      <c r="E89" s="36">
        <f>E53</f>
        <v>22926</v>
      </c>
      <c r="F89" s="36">
        <f ca="1">F91*F14</f>
        <v>23181.503399999998</v>
      </c>
      <c r="G89" s="36">
        <f ca="1">G91*G14</f>
        <v>23834.800314</v>
      </c>
      <c r="H89" s="36">
        <f ca="1">H91*H14</f>
        <v>25026.540329700001</v>
      </c>
      <c r="I89" s="36">
        <f ca="1">I91*I14</f>
        <v>25673.778441675007</v>
      </c>
      <c r="J89" s="36">
        <f ca="1">J91*J14</f>
        <v>26957.467363758758</v>
      </c>
    </row>
    <row r="90" spans="1:10" ht="5.25" customHeight="1" outlineLevel="1" x14ac:dyDescent="0.25"/>
    <row r="91" spans="1:10" outlineLevel="1" x14ac:dyDescent="0.25">
      <c r="B91" s="2" t="s">
        <v>68</v>
      </c>
      <c r="D91" s="24">
        <f>D89/D14</f>
        <v>8.7298330164347973E-2</v>
      </c>
      <c r="E91" s="24">
        <f>E89/E14</f>
        <v>8.811795183223535E-2</v>
      </c>
      <c r="F91" s="25">
        <v>8.7999999999999995E-2</v>
      </c>
      <c r="G91" s="25">
        <v>8.6999999999999994E-2</v>
      </c>
      <c r="H91" s="25">
        <v>8.6999999999999994E-2</v>
      </c>
      <c r="I91" s="25">
        <v>8.5000000000000006E-2</v>
      </c>
      <c r="J91" s="25">
        <v>8.5000000000000006E-2</v>
      </c>
    </row>
    <row r="92" spans="1:10" outlineLevel="1" x14ac:dyDescent="0.25">
      <c r="B92" s="2" t="s">
        <v>69</v>
      </c>
      <c r="D92" s="31">
        <f t="shared" ref="D92:J92" si="15">D91*365</f>
        <v>31.863890509987009</v>
      </c>
      <c r="E92" s="31">
        <f t="shared" si="15"/>
        <v>32.163052418765901</v>
      </c>
      <c r="F92" s="31">
        <f t="shared" si="15"/>
        <v>32.119999999999997</v>
      </c>
      <c r="G92" s="31">
        <f t="shared" si="15"/>
        <v>31.754999999999999</v>
      </c>
      <c r="H92" s="31">
        <f t="shared" si="15"/>
        <v>31.754999999999999</v>
      </c>
      <c r="I92" s="31">
        <f t="shared" si="15"/>
        <v>31.025000000000002</v>
      </c>
      <c r="J92" s="31">
        <f t="shared" si="15"/>
        <v>31.025000000000002</v>
      </c>
    </row>
    <row r="93" spans="1:10" ht="5.25" customHeight="1" outlineLevel="1" x14ac:dyDescent="0.25"/>
    <row r="94" spans="1:10" outlineLevel="1" x14ac:dyDescent="0.25">
      <c r="B94" s="3" t="s">
        <v>42</v>
      </c>
    </row>
    <row r="95" spans="1:10" outlineLevel="1" x14ac:dyDescent="0.25">
      <c r="B95" s="2" t="s">
        <v>65</v>
      </c>
      <c r="F95" s="30">
        <f>E97</f>
        <v>4106</v>
      </c>
      <c r="G95" s="30">
        <f ca="1">F97</f>
        <v>3951.392625</v>
      </c>
      <c r="H95" s="30">
        <f ca="1">G97</f>
        <v>4109.4483300000002</v>
      </c>
      <c r="I95" s="30">
        <f ca="1">H97</f>
        <v>4135.1323820625012</v>
      </c>
      <c r="J95" s="30">
        <f ca="1">I97</f>
        <v>4307.1538891563014</v>
      </c>
    </row>
    <row r="96" spans="1:10" outlineLevel="1" x14ac:dyDescent="0.25">
      <c r="B96" s="2" t="s">
        <v>66</v>
      </c>
      <c r="F96" s="30">
        <f ca="1">F97-F95</f>
        <v>-154.60737500000005</v>
      </c>
      <c r="G96" s="30">
        <f ca="1">G97-G95</f>
        <v>158.05570500000022</v>
      </c>
      <c r="H96" s="30">
        <f ca="1">H97-H95</f>
        <v>25.684052062500996</v>
      </c>
      <c r="I96" s="30">
        <f ca="1">I97-I95</f>
        <v>172.02150709380021</v>
      </c>
      <c r="J96" s="30">
        <f ca="1">J97-J95</f>
        <v>288.30142967739721</v>
      </c>
    </row>
    <row r="97" spans="2:10" outlineLevel="1" x14ac:dyDescent="0.25">
      <c r="B97" s="17" t="s">
        <v>67</v>
      </c>
      <c r="C97" s="17"/>
      <c r="D97" s="36">
        <f>D54</f>
        <v>3956</v>
      </c>
      <c r="E97" s="36">
        <f>E54</f>
        <v>4106</v>
      </c>
      <c r="F97" s="36">
        <f ca="1">-(F99*F15)</f>
        <v>3951.392625</v>
      </c>
      <c r="G97" s="36">
        <f ca="1">-(G99*G15)</f>
        <v>4109.4483300000002</v>
      </c>
      <c r="H97" s="36">
        <f ca="1">-(H99*H15)</f>
        <v>4135.1323820625012</v>
      </c>
      <c r="I97" s="36">
        <f ca="1">-(I99*I15)</f>
        <v>4307.1538891563014</v>
      </c>
      <c r="J97" s="36">
        <f ca="1">-(J99*J15)</f>
        <v>4595.4553188336986</v>
      </c>
    </row>
    <row r="98" spans="2:10" ht="5.25" customHeight="1" outlineLevel="1" x14ac:dyDescent="0.25"/>
    <row r="99" spans="2:10" outlineLevel="1" x14ac:dyDescent="0.25">
      <c r="B99" s="2" t="s">
        <v>72</v>
      </c>
      <c r="D99" s="24">
        <f>-(D97/D15)</f>
        <v>2.4157893451232322E-2</v>
      </c>
      <c r="E99" s="24">
        <f>-(E97/E15)</f>
        <v>2.5379832119766105E-2</v>
      </c>
      <c r="F99" s="25">
        <v>2.5000000000000001E-2</v>
      </c>
      <c r="G99" s="25">
        <v>2.5000000000000001E-2</v>
      </c>
      <c r="H99" s="25">
        <v>2.5000000000000001E-2</v>
      </c>
      <c r="I99" s="25">
        <v>2.3E-2</v>
      </c>
      <c r="J99" s="25">
        <v>2.3E-2</v>
      </c>
    </row>
    <row r="100" spans="2:10" ht="15" customHeight="1" outlineLevel="1" x14ac:dyDescent="0.25">
      <c r="B100" s="2" t="s">
        <v>73</v>
      </c>
      <c r="D100" s="33">
        <f t="shared" ref="D100:J100" si="16">-(D15/D97)</f>
        <v>41.394337714863497</v>
      </c>
      <c r="E100" s="32">
        <f t="shared" si="16"/>
        <v>39.40136385776912</v>
      </c>
      <c r="F100" s="32">
        <f t="shared" ca="1" si="16"/>
        <v>40</v>
      </c>
      <c r="G100" s="32">
        <f t="shared" ca="1" si="16"/>
        <v>40</v>
      </c>
      <c r="H100" s="32">
        <f t="shared" ca="1" si="16"/>
        <v>40</v>
      </c>
      <c r="I100" s="32">
        <f t="shared" ca="1" si="16"/>
        <v>43.478260869565219</v>
      </c>
      <c r="J100" s="32">
        <f t="shared" ca="1" si="16"/>
        <v>43.478260869565219</v>
      </c>
    </row>
    <row r="101" spans="2:10" ht="5.25" customHeight="1" outlineLevel="1" x14ac:dyDescent="0.25"/>
    <row r="102" spans="2:10" outlineLevel="1" x14ac:dyDescent="0.25">
      <c r="B102" s="3" t="s">
        <v>74</v>
      </c>
    </row>
    <row r="103" spans="2:10" outlineLevel="1" x14ac:dyDescent="0.25">
      <c r="B103" s="2" t="s">
        <v>65</v>
      </c>
      <c r="F103" s="30">
        <f>E105</f>
        <v>46236</v>
      </c>
      <c r="G103" s="30">
        <f ca="1">F105</f>
        <v>44782.44975</v>
      </c>
      <c r="H103" s="30">
        <f ca="1">G105</f>
        <v>47943.563849999999</v>
      </c>
      <c r="I103" s="30">
        <f ca="1">H105</f>
        <v>54655.662789000009</v>
      </c>
      <c r="J103" s="30">
        <f ca="1">I105</f>
        <v>60408.890451000014</v>
      </c>
    </row>
    <row r="104" spans="2:10" outlineLevel="1" x14ac:dyDescent="0.25">
      <c r="B104" s="2" t="s">
        <v>66</v>
      </c>
      <c r="F104" s="30">
        <f ca="1">F105-F103</f>
        <v>-1453.5502500000002</v>
      </c>
      <c r="G104" s="30">
        <f ca="1">G105-G103</f>
        <v>3161.1140999999989</v>
      </c>
      <c r="H104" s="30">
        <f ca="1">H105-H103</f>
        <v>6712.0989390000104</v>
      </c>
      <c r="I104" s="30">
        <f ca="1">I105-I103</f>
        <v>5753.2276620000048</v>
      </c>
      <c r="J104" s="30">
        <f ca="1">J105-J103</f>
        <v>-3322.4889748049973</v>
      </c>
    </row>
    <row r="105" spans="2:10" outlineLevel="1" x14ac:dyDescent="0.25">
      <c r="B105" s="17" t="s">
        <v>67</v>
      </c>
      <c r="C105" s="17"/>
      <c r="D105" s="36">
        <f>D61</f>
        <v>55888</v>
      </c>
      <c r="E105" s="36">
        <f>E61</f>
        <v>46236</v>
      </c>
      <c r="F105" s="36">
        <f ca="1">F107*F14</f>
        <v>44782.44975</v>
      </c>
      <c r="G105" s="36">
        <f ca="1">G107*G14</f>
        <v>47943.563849999999</v>
      </c>
      <c r="H105" s="36">
        <f ca="1">H107*H14</f>
        <v>54655.662789000009</v>
      </c>
      <c r="I105" s="36">
        <f ca="1">I107*I14</f>
        <v>60408.890451000014</v>
      </c>
      <c r="J105" s="36">
        <f ca="1">J107*J14</f>
        <v>57086.401476195017</v>
      </c>
    </row>
    <row r="106" spans="2:10" ht="5.25" customHeight="1" outlineLevel="1" x14ac:dyDescent="0.25"/>
    <row r="107" spans="2:10" outlineLevel="1" x14ac:dyDescent="0.25">
      <c r="B107" s="2" t="s">
        <v>70</v>
      </c>
      <c r="D107" s="24">
        <f>D105/D14</f>
        <v>0.21042564807319414</v>
      </c>
      <c r="E107" s="24">
        <f>E105/E14</f>
        <v>0.1777118390000538</v>
      </c>
      <c r="F107" s="25">
        <v>0.17</v>
      </c>
      <c r="G107" s="25">
        <v>0.17499999999999999</v>
      </c>
      <c r="H107" s="25">
        <v>0.19</v>
      </c>
      <c r="I107" s="25">
        <v>0.2</v>
      </c>
      <c r="J107" s="25">
        <v>0.18</v>
      </c>
    </row>
    <row r="108" spans="2:10" outlineLevel="1" x14ac:dyDescent="0.25">
      <c r="B108" s="2" t="s">
        <v>71</v>
      </c>
      <c r="D108" s="31">
        <f t="shared" ref="D108:J108" si="17">D107*365</f>
        <v>76.805361546715858</v>
      </c>
      <c r="E108" s="31">
        <f t="shared" si="17"/>
        <v>64.864821235019633</v>
      </c>
      <c r="F108" s="31">
        <f t="shared" si="17"/>
        <v>62.050000000000004</v>
      </c>
      <c r="G108" s="31">
        <f t="shared" si="17"/>
        <v>63.874999999999993</v>
      </c>
      <c r="H108" s="31">
        <f t="shared" si="17"/>
        <v>69.349999999999994</v>
      </c>
      <c r="I108" s="31">
        <f t="shared" si="17"/>
        <v>73</v>
      </c>
      <c r="J108" s="31">
        <f t="shared" si="17"/>
        <v>65.7</v>
      </c>
    </row>
    <row r="109" spans="2:10" ht="5.25" customHeight="1" outlineLevel="1" x14ac:dyDescent="0.25"/>
    <row r="110" spans="2:10" ht="15.75" outlineLevel="1" x14ac:dyDescent="0.25">
      <c r="B110" s="27" t="s">
        <v>77</v>
      </c>
    </row>
    <row r="111" spans="2:10" ht="15.75" outlineLevel="1" x14ac:dyDescent="0.25">
      <c r="B111" s="26" t="s">
        <v>65</v>
      </c>
      <c r="F111" s="30">
        <f>E113</f>
        <v>11502</v>
      </c>
      <c r="G111" s="30">
        <f ca="1">F113</f>
        <v>13171.30875</v>
      </c>
      <c r="H111" s="30">
        <f ca="1">G113</f>
        <v>13698.161100000001</v>
      </c>
      <c r="I111" s="30">
        <f ca="1">H113</f>
        <v>17259.682986</v>
      </c>
      <c r="J111" s="30">
        <f ca="1">I113</f>
        <v>18726.756039810003</v>
      </c>
    </row>
    <row r="112" spans="2:10" ht="15.75" outlineLevel="1" x14ac:dyDescent="0.25">
      <c r="B112" s="26" t="s">
        <v>66</v>
      </c>
      <c r="F112" s="30">
        <f ca="1">F113-F111</f>
        <v>1669.3087500000001</v>
      </c>
      <c r="G112" s="30">
        <f ca="1">G113-G111</f>
        <v>526.85235000000102</v>
      </c>
      <c r="H112" s="30">
        <f ca="1">H113-H111</f>
        <v>3561.5218859999986</v>
      </c>
      <c r="I112" s="30">
        <f ca="1">I113-I111</f>
        <v>1467.0730538100033</v>
      </c>
      <c r="J112" s="30">
        <f ca="1">J113-J111</f>
        <v>936.33780199050307</v>
      </c>
    </row>
    <row r="113" spans="1:10" ht="15.75" outlineLevel="1" x14ac:dyDescent="0.25">
      <c r="B113" s="37" t="s">
        <v>67</v>
      </c>
      <c r="C113" s="17"/>
      <c r="D113" s="36">
        <f>D62</f>
        <v>17930</v>
      </c>
      <c r="E113" s="36">
        <f>E62</f>
        <v>11502</v>
      </c>
      <c r="F113" s="36">
        <f ca="1">F115*F14</f>
        <v>13171.30875</v>
      </c>
      <c r="G113" s="36">
        <f ca="1">G115*G14</f>
        <v>13698.161100000001</v>
      </c>
      <c r="H113" s="36">
        <f ca="1">H115*H14</f>
        <v>17259.682986</v>
      </c>
      <c r="I113" s="36">
        <f ca="1">I115*I14</f>
        <v>18726.756039810003</v>
      </c>
      <c r="J113" s="36">
        <f ca="1">J115*J14</f>
        <v>19663.093841800506</v>
      </c>
    </row>
    <row r="114" spans="1:10" ht="5.25" customHeight="1" outlineLevel="1" x14ac:dyDescent="0.25">
      <c r="B114" s="26"/>
    </row>
    <row r="115" spans="1:10" ht="15.75" outlineLevel="1" x14ac:dyDescent="0.25">
      <c r="B115" s="26" t="s">
        <v>76</v>
      </c>
      <c r="D115" s="24">
        <f>D113/D14</f>
        <v>6.7508800993994617E-2</v>
      </c>
      <c r="E115" s="24">
        <f>E113/E14</f>
        <v>4.4208875598637835E-2</v>
      </c>
      <c r="F115" s="25">
        <v>0.05</v>
      </c>
      <c r="G115" s="25">
        <v>0.05</v>
      </c>
      <c r="H115" s="25">
        <v>0.06</v>
      </c>
      <c r="I115" s="25">
        <v>6.2E-2</v>
      </c>
      <c r="J115" s="25">
        <v>6.2E-2</v>
      </c>
    </row>
    <row r="116" spans="1:10" ht="5.25" customHeight="1" x14ac:dyDescent="0.25"/>
    <row r="117" spans="1:10" ht="23.25" x14ac:dyDescent="0.35">
      <c r="A117" s="22"/>
      <c r="B117" s="23" t="s">
        <v>78</v>
      </c>
      <c r="C117" s="22"/>
      <c r="D117" s="22"/>
      <c r="E117" s="22"/>
      <c r="F117" s="22"/>
      <c r="G117" s="22"/>
      <c r="H117" s="22"/>
      <c r="I117" s="22"/>
      <c r="J117" s="22"/>
    </row>
    <row r="118" spans="1:10" ht="5.25" customHeight="1" outlineLevel="1" x14ac:dyDescent="0.25"/>
    <row r="119" spans="1:10" ht="15.75" outlineLevel="1" x14ac:dyDescent="0.25">
      <c r="B119" s="26" t="s">
        <v>65</v>
      </c>
      <c r="F119" s="13">
        <f>E122</f>
        <v>37378</v>
      </c>
      <c r="G119" s="13">
        <f ca="1">F122</f>
        <v>39643.465105000003</v>
      </c>
      <c r="H119" s="13">
        <f ca="1">G122</f>
        <v>43033.759977250003</v>
      </c>
      <c r="I119" s="13">
        <f ca="1">H122</f>
        <v>46787.741026705</v>
      </c>
      <c r="J119" s="13">
        <f ca="1">I122</f>
        <v>51318.40781053</v>
      </c>
    </row>
    <row r="120" spans="1:10" ht="15.75" outlineLevel="1" x14ac:dyDescent="0.25">
      <c r="B120" s="26" t="s">
        <v>79</v>
      </c>
      <c r="F120" s="13">
        <f ca="1">F124</f>
        <v>11327.325524999998</v>
      </c>
      <c r="G120" s="13">
        <f ca="1">G124</f>
        <v>12328.34499</v>
      </c>
      <c r="H120" s="13">
        <f ca="1">H124</f>
        <v>12944.762239500002</v>
      </c>
      <c r="I120" s="13">
        <f ca="1">I124</f>
        <v>15102.222612750003</v>
      </c>
      <c r="J120" s="13">
        <f ca="1">J124</f>
        <v>15857.333743387506</v>
      </c>
    </row>
    <row r="121" spans="1:10" ht="15.75" outlineLevel="1" x14ac:dyDescent="0.25">
      <c r="B121" s="26" t="s">
        <v>80</v>
      </c>
      <c r="F121" s="13">
        <f ca="1">F126</f>
        <v>-9061.8604199999991</v>
      </c>
      <c r="G121" s="13">
        <f ca="1">G126</f>
        <v>-8938.0501177499991</v>
      </c>
      <c r="H121" s="13">
        <f ca="1">H126</f>
        <v>-9190.7811900450015</v>
      </c>
      <c r="I121" s="13">
        <f ca="1">I126</f>
        <v>-10571.555828925002</v>
      </c>
      <c r="J121" s="13">
        <f ca="1">J126</f>
        <v>-11100.133620371253</v>
      </c>
    </row>
    <row r="122" spans="1:10" ht="15.75" outlineLevel="1" x14ac:dyDescent="0.25">
      <c r="B122" s="37" t="s">
        <v>67</v>
      </c>
      <c r="C122" s="17"/>
      <c r="D122" s="18">
        <f>D56</f>
        <v>41304</v>
      </c>
      <c r="E122" s="18">
        <f>E56</f>
        <v>37378</v>
      </c>
      <c r="F122" s="18">
        <f ca="1">SUM(F119:F121)</f>
        <v>39643.465105000003</v>
      </c>
      <c r="G122" s="18">
        <f ca="1">SUM(G119:G121)</f>
        <v>43033.759977250003</v>
      </c>
      <c r="H122" s="18">
        <f ca="1">SUM(H119:H121)</f>
        <v>46787.741026705</v>
      </c>
      <c r="I122" s="18">
        <f ca="1">SUM(I119:I121)</f>
        <v>51318.40781053</v>
      </c>
      <c r="J122" s="18">
        <f ca="1">SUM(J119:J121)</f>
        <v>56075.607933546242</v>
      </c>
    </row>
    <row r="123" spans="1:10" ht="5.25" customHeight="1" outlineLevel="1" x14ac:dyDescent="0.25">
      <c r="B123" s="26"/>
    </row>
    <row r="124" spans="1:10" ht="15.75" outlineLevel="1" x14ac:dyDescent="0.25">
      <c r="B124" s="26" t="s">
        <v>81</v>
      </c>
      <c r="D124" s="13">
        <v>13313</v>
      </c>
      <c r="E124" s="13">
        <v>10495</v>
      </c>
      <c r="F124" s="13">
        <f ca="1">F14*F125</f>
        <v>11327.325524999998</v>
      </c>
      <c r="G124" s="13">
        <f ca="1">G14*G125</f>
        <v>12328.34499</v>
      </c>
      <c r="H124" s="13">
        <f ca="1">H14*H125</f>
        <v>12944.762239500002</v>
      </c>
      <c r="I124" s="13">
        <f ca="1">I14*I125</f>
        <v>15102.222612750003</v>
      </c>
      <c r="J124" s="13">
        <f ca="1">J14*J125</f>
        <v>15857.333743387506</v>
      </c>
    </row>
    <row r="125" spans="1:10" ht="15.75" outlineLevel="1" x14ac:dyDescent="0.25">
      <c r="B125" s="26" t="s">
        <v>82</v>
      </c>
      <c r="D125" s="21">
        <f>D124/D14</f>
        <v>5.0125190609762983E-2</v>
      </c>
      <c r="E125" s="21">
        <f>E124/E14</f>
        <v>4.033838892433525E-2</v>
      </c>
      <c r="F125" s="25">
        <v>4.2999999999999997E-2</v>
      </c>
      <c r="G125" s="25">
        <v>4.4999999999999998E-2</v>
      </c>
      <c r="H125" s="25">
        <v>4.4999999999999998E-2</v>
      </c>
      <c r="I125" s="25">
        <v>0.05</v>
      </c>
      <c r="J125" s="25">
        <v>0.05</v>
      </c>
    </row>
    <row r="126" spans="1:10" ht="15.75" outlineLevel="1" x14ac:dyDescent="0.25">
      <c r="B126" s="26" t="s">
        <v>83</v>
      </c>
      <c r="D126" s="13">
        <v>-9300</v>
      </c>
      <c r="E126" s="13">
        <v>-11300</v>
      </c>
      <c r="F126" s="13">
        <f ca="1">-(F127*F124)</f>
        <v>-9061.8604199999991</v>
      </c>
      <c r="G126" s="13">
        <f ca="1">-(G127*G124)</f>
        <v>-8938.0501177499991</v>
      </c>
      <c r="H126" s="13">
        <f ca="1">-(H127*H124)</f>
        <v>-9190.7811900450015</v>
      </c>
      <c r="I126" s="13">
        <f ca="1">-(I127*I124)</f>
        <v>-10571.555828925002</v>
      </c>
      <c r="J126" s="13">
        <f ca="1">-(J127*J124)</f>
        <v>-11100.133620371253</v>
      </c>
    </row>
    <row r="127" spans="1:10" ht="15.75" outlineLevel="1" x14ac:dyDescent="0.25">
      <c r="B127" s="26" t="s">
        <v>84</v>
      </c>
      <c r="D127" s="21">
        <f>-(D126/D124)</f>
        <v>0.69856531210095396</v>
      </c>
      <c r="E127" s="21">
        <f>-(E126/E124)</f>
        <v>1.0767031919961887</v>
      </c>
      <c r="F127" s="25">
        <v>0.8</v>
      </c>
      <c r="G127" s="25">
        <v>0.72499999999999998</v>
      </c>
      <c r="H127" s="25">
        <v>0.71</v>
      </c>
      <c r="I127" s="25">
        <v>0.7</v>
      </c>
      <c r="J127" s="25">
        <v>0.7</v>
      </c>
    </row>
    <row r="128" spans="1:10" ht="5.25" customHeight="1" x14ac:dyDescent="0.25"/>
    <row r="129" spans="1:10" ht="23.25" x14ac:dyDescent="0.35">
      <c r="A129" s="22"/>
      <c r="B129" s="23" t="s">
        <v>88</v>
      </c>
      <c r="C129" s="22"/>
      <c r="D129" s="22"/>
      <c r="E129" s="22"/>
      <c r="F129" s="22"/>
      <c r="G129" s="22"/>
      <c r="H129" s="22"/>
      <c r="I129" s="22"/>
      <c r="J129" s="22"/>
    </row>
    <row r="130" spans="1:10" ht="5.25" customHeight="1" outlineLevel="1" x14ac:dyDescent="0.25"/>
    <row r="131" spans="1:10" ht="15.75" outlineLevel="1" x14ac:dyDescent="0.25">
      <c r="B131" s="27" t="s">
        <v>89</v>
      </c>
    </row>
    <row r="132" spans="1:10" ht="15.75" outlineLevel="1" x14ac:dyDescent="0.25">
      <c r="B132" s="26" t="s">
        <v>65</v>
      </c>
      <c r="F132" s="30">
        <f>E134</f>
        <v>35230</v>
      </c>
      <c r="G132" s="30">
        <f>F134</f>
        <v>35230</v>
      </c>
      <c r="H132" s="30">
        <f>G134</f>
        <v>35230</v>
      </c>
      <c r="I132" s="30">
        <f>H134</f>
        <v>35230</v>
      </c>
      <c r="J132" s="30">
        <f>I134</f>
        <v>35230</v>
      </c>
    </row>
    <row r="133" spans="1:10" ht="15.75" outlineLevel="1" x14ac:dyDescent="0.25">
      <c r="B133" s="26" t="s">
        <v>66</v>
      </c>
      <c r="F133" s="16">
        <v>0</v>
      </c>
      <c r="G133" s="16">
        <v>0</v>
      </c>
      <c r="H133" s="16">
        <v>0</v>
      </c>
      <c r="I133" s="16">
        <v>0</v>
      </c>
      <c r="J133" s="16">
        <v>0</v>
      </c>
    </row>
    <row r="134" spans="1:10" ht="15.75" outlineLevel="1" x14ac:dyDescent="0.25">
      <c r="B134" s="37" t="s">
        <v>67</v>
      </c>
      <c r="C134" s="17"/>
      <c r="D134" s="36">
        <f>D55</f>
        <v>37896</v>
      </c>
      <c r="E134" s="36">
        <f>E55</f>
        <v>35230</v>
      </c>
      <c r="F134" s="36">
        <f>SUM(F132:F133)</f>
        <v>35230</v>
      </c>
      <c r="G134" s="36">
        <f>SUM(G132:G133)</f>
        <v>35230</v>
      </c>
      <c r="H134" s="36">
        <f>SUM(H132:H133)</f>
        <v>35230</v>
      </c>
      <c r="I134" s="36">
        <f>SUM(I132:I133)</f>
        <v>35230</v>
      </c>
      <c r="J134" s="36">
        <f>SUM(J132:J133)</f>
        <v>35230</v>
      </c>
    </row>
    <row r="135" spans="1:10" ht="5.25" customHeight="1" outlineLevel="1" x14ac:dyDescent="0.25"/>
    <row r="136" spans="1:10" ht="15.75" outlineLevel="1" x14ac:dyDescent="0.25">
      <c r="B136" s="27" t="s">
        <v>62</v>
      </c>
    </row>
    <row r="137" spans="1:10" ht="15.75" outlineLevel="1" x14ac:dyDescent="0.25">
      <c r="B137" s="26" t="s">
        <v>65</v>
      </c>
      <c r="F137" s="30">
        <f>E139</f>
        <v>32978</v>
      </c>
      <c r="G137" s="30">
        <f>F139</f>
        <v>32978</v>
      </c>
      <c r="H137" s="30">
        <f>G139</f>
        <v>32978</v>
      </c>
      <c r="I137" s="30">
        <f>H139</f>
        <v>32978</v>
      </c>
      <c r="J137" s="30">
        <f>I139</f>
        <v>32978</v>
      </c>
    </row>
    <row r="138" spans="1:10" ht="15.75" outlineLevel="1" x14ac:dyDescent="0.25">
      <c r="B138" s="26" t="s">
        <v>66</v>
      </c>
      <c r="F138" s="16">
        <v>0</v>
      </c>
      <c r="G138" s="16">
        <v>0</v>
      </c>
      <c r="H138" s="16">
        <v>0</v>
      </c>
      <c r="I138" s="16">
        <v>0</v>
      </c>
      <c r="J138" s="16">
        <v>0</v>
      </c>
    </row>
    <row r="139" spans="1:10" ht="15.75" outlineLevel="1" x14ac:dyDescent="0.25">
      <c r="B139" s="37" t="s">
        <v>67</v>
      </c>
      <c r="C139" s="17"/>
      <c r="D139" s="36">
        <f>D57</f>
        <v>22283</v>
      </c>
      <c r="E139" s="36">
        <f>E57</f>
        <v>32978</v>
      </c>
      <c r="F139" s="36">
        <f>SUM(F137:F138)</f>
        <v>32978</v>
      </c>
      <c r="G139" s="36">
        <f>SUM(G137:G138)</f>
        <v>32978</v>
      </c>
      <c r="H139" s="36">
        <f>SUM(H137:H138)</f>
        <v>32978</v>
      </c>
      <c r="I139" s="36">
        <f>SUM(I137:I138)</f>
        <v>32978</v>
      </c>
      <c r="J139" s="36">
        <f>SUM(J137:J138)</f>
        <v>32978</v>
      </c>
    </row>
    <row r="140" spans="1:10" ht="5.25" customHeight="1" outlineLevel="1" x14ac:dyDescent="0.25">
      <c r="B140" s="26"/>
    </row>
    <row r="141" spans="1:10" ht="15.75" outlineLevel="1" x14ac:dyDescent="0.25">
      <c r="B141" s="27" t="s">
        <v>63</v>
      </c>
    </row>
    <row r="142" spans="1:10" ht="15.75" outlineLevel="1" x14ac:dyDescent="0.25">
      <c r="B142" s="26" t="s">
        <v>65</v>
      </c>
      <c r="F142" s="30">
        <f>E144</f>
        <v>88223</v>
      </c>
      <c r="G142" s="30">
        <f>F144</f>
        <v>93223</v>
      </c>
      <c r="H142" s="30">
        <f>G144</f>
        <v>98223</v>
      </c>
      <c r="I142" s="30">
        <f>H144</f>
        <v>103223</v>
      </c>
      <c r="J142" s="30">
        <f>I144</f>
        <v>108223</v>
      </c>
    </row>
    <row r="143" spans="1:10" ht="15.75" outlineLevel="1" x14ac:dyDescent="0.25">
      <c r="B143" s="26" t="s">
        <v>66</v>
      </c>
      <c r="F143" s="16">
        <v>5000</v>
      </c>
      <c r="G143" s="16">
        <v>5000</v>
      </c>
      <c r="H143" s="16">
        <v>5000</v>
      </c>
      <c r="I143" s="16">
        <v>5000</v>
      </c>
      <c r="J143" s="16">
        <v>5000</v>
      </c>
    </row>
    <row r="144" spans="1:10" ht="15.75" outlineLevel="1" x14ac:dyDescent="0.25">
      <c r="B144" s="37" t="s">
        <v>67</v>
      </c>
      <c r="C144" s="17"/>
      <c r="D144" s="36">
        <f>D65</f>
        <v>82241</v>
      </c>
      <c r="E144" s="36">
        <f>E65</f>
        <v>88223</v>
      </c>
      <c r="F144" s="36">
        <f>SUM(F142:F143)</f>
        <v>93223</v>
      </c>
      <c r="G144" s="36">
        <f>SUM(G142:G143)</f>
        <v>98223</v>
      </c>
      <c r="H144" s="36">
        <f>SUM(H142:H143)</f>
        <v>103223</v>
      </c>
      <c r="I144" s="36">
        <f>SUM(I142:I143)</f>
        <v>108223</v>
      </c>
      <c r="J144" s="36">
        <f>SUM(J142:J143)</f>
        <v>113223</v>
      </c>
    </row>
    <row r="145" spans="1:10" ht="5.25" customHeight="1" x14ac:dyDescent="0.25"/>
    <row r="146" spans="1:10" ht="23.25" x14ac:dyDescent="0.35">
      <c r="A146" s="22"/>
      <c r="B146" s="23" t="s">
        <v>91</v>
      </c>
      <c r="C146" s="22"/>
      <c r="D146" s="22"/>
      <c r="E146" s="22"/>
      <c r="F146" s="22"/>
      <c r="G146" s="22"/>
      <c r="H146" s="22"/>
      <c r="I146" s="22"/>
      <c r="J146" s="22"/>
    </row>
    <row r="147" spans="1:10" ht="5.25" customHeight="1" outlineLevel="1" x14ac:dyDescent="0.25"/>
    <row r="148" spans="1:10" ht="15.75" outlineLevel="1" x14ac:dyDescent="0.25">
      <c r="B148" s="27" t="s">
        <v>47</v>
      </c>
    </row>
    <row r="149" spans="1:10" ht="15.75" outlineLevel="1" x14ac:dyDescent="0.25">
      <c r="B149" s="26" t="s">
        <v>65</v>
      </c>
      <c r="F149" s="30">
        <f>E152</f>
        <v>102067</v>
      </c>
      <c r="G149" s="30">
        <f>F152</f>
        <v>102067</v>
      </c>
      <c r="H149" s="30">
        <f>G152</f>
        <v>102067</v>
      </c>
      <c r="I149" s="30">
        <f>H152</f>
        <v>104817</v>
      </c>
      <c r="J149" s="30">
        <f>I152</f>
        <v>104817</v>
      </c>
    </row>
    <row r="150" spans="1:10" ht="15.75" outlineLevel="1" x14ac:dyDescent="0.25">
      <c r="B150" s="26" t="s">
        <v>92</v>
      </c>
      <c r="F150" s="16">
        <v>0</v>
      </c>
      <c r="G150" s="16">
        <v>0</v>
      </c>
      <c r="H150" s="16">
        <v>2750</v>
      </c>
      <c r="I150" s="16">
        <v>0</v>
      </c>
      <c r="J150" s="16">
        <v>0</v>
      </c>
    </row>
    <row r="151" spans="1:10" ht="15.75" outlineLevel="1" x14ac:dyDescent="0.25">
      <c r="B151" s="26" t="s">
        <v>93</v>
      </c>
      <c r="F151" s="30">
        <f>F154*F158</f>
        <v>0</v>
      </c>
      <c r="G151" s="30">
        <f>G154*G158</f>
        <v>0</v>
      </c>
      <c r="H151" s="30">
        <f>H154*H158</f>
        <v>0</v>
      </c>
      <c r="I151" s="30">
        <f>I154*I158</f>
        <v>0</v>
      </c>
      <c r="J151" s="30">
        <f>J154*J158</f>
        <v>0</v>
      </c>
    </row>
    <row r="152" spans="1:10" ht="15.75" outlineLevel="1" x14ac:dyDescent="0.25">
      <c r="B152" s="37" t="s">
        <v>67</v>
      </c>
      <c r="C152" s="17"/>
      <c r="D152" s="36">
        <f>D64</f>
        <v>102519</v>
      </c>
      <c r="E152" s="36">
        <f>E64</f>
        <v>102067</v>
      </c>
      <c r="F152" s="36">
        <f>SUM(F149:F151)</f>
        <v>102067</v>
      </c>
      <c r="G152" s="36">
        <f>SUM(G149:G151)</f>
        <v>102067</v>
      </c>
      <c r="H152" s="36">
        <f>SUM(H149:H151)</f>
        <v>104817</v>
      </c>
      <c r="I152" s="36">
        <f>SUM(I149:I151)</f>
        <v>104817</v>
      </c>
      <c r="J152" s="36">
        <f>SUM(J149:J151)</f>
        <v>104817</v>
      </c>
    </row>
    <row r="153" spans="1:10" ht="5.25" customHeight="1" outlineLevel="1" x14ac:dyDescent="0.25">
      <c r="B153" s="26"/>
    </row>
    <row r="154" spans="1:10" ht="15.75" outlineLevel="1" x14ac:dyDescent="0.25">
      <c r="B154" s="26" t="s">
        <v>94</v>
      </c>
      <c r="F154" s="30">
        <f>4250*0.0224+90429*0.028</f>
        <v>2627.212</v>
      </c>
      <c r="G154" s="30">
        <f t="shared" ref="G154:H154" si="18">4250*0.0224+90429*0.028</f>
        <v>2627.212</v>
      </c>
      <c r="H154" s="30">
        <f t="shared" si="18"/>
        <v>2627.212</v>
      </c>
      <c r="I154" s="30">
        <f>90429*0.028+7000*0.0171</f>
        <v>2651.712</v>
      </c>
      <c r="J154" s="30">
        <f>90429*0.028+7000*0.0171</f>
        <v>2651.712</v>
      </c>
    </row>
    <row r="155" spans="1:10" ht="15.75" customHeight="1" outlineLevel="1" x14ac:dyDescent="0.25">
      <c r="B155" s="26" t="s">
        <v>95</v>
      </c>
      <c r="F155" s="34">
        <f>F154/AVERAGE(E152:F152)</f>
        <v>2.5740072697345861E-2</v>
      </c>
      <c r="G155" s="34">
        <f>G154/AVERAGE(F152:G152)</f>
        <v>2.5740072697345861E-2</v>
      </c>
      <c r="H155" s="34">
        <f>H154/AVERAGE(G152:H152)</f>
        <v>2.539792347402409E-2</v>
      </c>
      <c r="I155" s="34">
        <f>I154/AVERAGE(H152:I152)</f>
        <v>2.5298491656887717E-2</v>
      </c>
      <c r="J155" s="34">
        <f>J154/AVERAGE(I152:J152)</f>
        <v>2.5298491656887717E-2</v>
      </c>
    </row>
    <row r="156" spans="1:10" ht="5.25" customHeight="1" outlineLevel="1" x14ac:dyDescent="0.25">
      <c r="B156" s="26"/>
    </row>
    <row r="157" spans="1:10" ht="15.75" outlineLevel="1" x14ac:dyDescent="0.25">
      <c r="B157" s="26" t="s">
        <v>96</v>
      </c>
      <c r="F157" s="25">
        <v>1</v>
      </c>
      <c r="G157" s="25">
        <v>1</v>
      </c>
      <c r="H157" s="25">
        <v>1</v>
      </c>
      <c r="I157" s="25">
        <v>1</v>
      </c>
      <c r="J157" s="25">
        <v>1</v>
      </c>
    </row>
    <row r="158" spans="1:10" ht="15.75" outlineLevel="1" x14ac:dyDescent="0.25">
      <c r="B158" s="26" t="s">
        <v>97</v>
      </c>
      <c r="F158" s="24">
        <f>1-F157</f>
        <v>0</v>
      </c>
      <c r="G158" s="24">
        <f>1-G157</f>
        <v>0</v>
      </c>
      <c r="H158" s="24">
        <f>1-H157</f>
        <v>0</v>
      </c>
      <c r="I158" s="24">
        <f>1-I157</f>
        <v>0</v>
      </c>
      <c r="J158" s="24">
        <f>1-J157</f>
        <v>0</v>
      </c>
    </row>
    <row r="159" spans="1:10" ht="5.25" customHeight="1" x14ac:dyDescent="0.25"/>
    <row r="160" spans="1:10" ht="23.25" x14ac:dyDescent="0.35">
      <c r="A160" s="22"/>
      <c r="B160" s="23" t="s">
        <v>98</v>
      </c>
      <c r="C160" s="22"/>
      <c r="D160" s="22"/>
      <c r="E160" s="22"/>
      <c r="F160" s="22"/>
      <c r="G160" s="22"/>
      <c r="H160" s="22"/>
      <c r="I160" s="22"/>
      <c r="J160" s="22"/>
    </row>
    <row r="161" spans="2:10" ht="5.25" customHeight="1" outlineLevel="1" x14ac:dyDescent="0.25"/>
    <row r="162" spans="2:10" ht="15.75" outlineLevel="1" x14ac:dyDescent="0.25">
      <c r="B162" s="27" t="s">
        <v>99</v>
      </c>
    </row>
    <row r="163" spans="2:10" ht="15.75" outlineLevel="1" x14ac:dyDescent="0.25">
      <c r="B163" s="26" t="s">
        <v>65</v>
      </c>
      <c r="F163" s="30">
        <f>E166</f>
        <v>45174</v>
      </c>
      <c r="G163" s="30">
        <f ca="1">F166</f>
        <v>50927.227661999998</v>
      </c>
      <c r="H163" s="30">
        <f ca="1">G166</f>
        <v>56910.584430479998</v>
      </c>
      <c r="I163" s="30">
        <f ca="1">H166</f>
        <v>62589.020132874</v>
      </c>
      <c r="J163" s="30">
        <f ca="1">I166</f>
        <v>68233.475834389319</v>
      </c>
    </row>
    <row r="164" spans="2:10" ht="15.75" outlineLevel="1" x14ac:dyDescent="0.25">
      <c r="B164" s="26" t="s">
        <v>100</v>
      </c>
      <c r="F164" s="30">
        <f t="shared" ref="F164:J165" si="19">F168</f>
        <v>0</v>
      </c>
      <c r="G164" s="30">
        <f t="shared" si="19"/>
        <v>0</v>
      </c>
      <c r="H164" s="30">
        <f t="shared" si="19"/>
        <v>0</v>
      </c>
      <c r="I164" s="30">
        <f t="shared" si="19"/>
        <v>0</v>
      </c>
      <c r="J164" s="30">
        <f t="shared" si="19"/>
        <v>0</v>
      </c>
    </row>
    <row r="165" spans="2:10" ht="15.75" outlineLevel="1" x14ac:dyDescent="0.25">
      <c r="B165" s="26" t="s">
        <v>101</v>
      </c>
      <c r="F165" s="30">
        <f t="shared" ca="1" si="19"/>
        <v>5753.2276619999993</v>
      </c>
      <c r="G165" s="30">
        <f t="shared" ca="1" si="19"/>
        <v>5983.35676848</v>
      </c>
      <c r="H165" s="30">
        <f t="shared" ca="1" si="19"/>
        <v>5678.4357023940011</v>
      </c>
      <c r="I165" s="30">
        <f t="shared" ca="1" si="19"/>
        <v>5644.455701515315</v>
      </c>
      <c r="J165" s="30">
        <f t="shared" ca="1" si="19"/>
        <v>5986.1434881287832</v>
      </c>
    </row>
    <row r="166" spans="2:10" ht="15.75" outlineLevel="1" x14ac:dyDescent="0.25">
      <c r="B166" s="37" t="s">
        <v>67</v>
      </c>
      <c r="C166" s="17"/>
      <c r="D166" s="36">
        <f>D69</f>
        <v>40201</v>
      </c>
      <c r="E166" s="36">
        <f>E69</f>
        <v>45174</v>
      </c>
      <c r="F166" s="36">
        <f ca="1">SUM(F163:F165)</f>
        <v>50927.227661999998</v>
      </c>
      <c r="G166" s="36">
        <f ca="1">SUM(G163:G165)</f>
        <v>56910.584430479998</v>
      </c>
      <c r="H166" s="36">
        <f ca="1">SUM(H163:H165)</f>
        <v>62589.020132874</v>
      </c>
      <c r="I166" s="36">
        <f ca="1">SUM(I163:I165)</f>
        <v>68233.475834389319</v>
      </c>
      <c r="J166" s="36">
        <f ca="1">SUM(J163:J165)</f>
        <v>74219.619322518105</v>
      </c>
    </row>
    <row r="167" spans="2:10" ht="5.25" customHeight="1" outlineLevel="1" x14ac:dyDescent="0.25">
      <c r="B167" s="26"/>
    </row>
    <row r="168" spans="2:10" ht="15.75" outlineLevel="1" x14ac:dyDescent="0.25">
      <c r="B168" s="26" t="s">
        <v>102</v>
      </c>
      <c r="D168" s="16">
        <v>669</v>
      </c>
      <c r="E168" s="16">
        <v>781</v>
      </c>
      <c r="F168" s="16">
        <v>0</v>
      </c>
      <c r="G168" s="16">
        <v>0</v>
      </c>
      <c r="H168" s="16">
        <v>0</v>
      </c>
      <c r="I168" s="16">
        <v>0</v>
      </c>
      <c r="J168" s="16">
        <v>0</v>
      </c>
    </row>
    <row r="169" spans="2:10" ht="15.75" outlineLevel="1" x14ac:dyDescent="0.25">
      <c r="B169" s="26" t="s">
        <v>36</v>
      </c>
      <c r="D169" s="30">
        <f>D46</f>
        <v>5443</v>
      </c>
      <c r="E169" s="30">
        <f>E46</f>
        <v>6194</v>
      </c>
      <c r="F169" s="30">
        <f ca="1">-(F170*SUM(F18:F19,F15))</f>
        <v>5753.2276619999993</v>
      </c>
      <c r="G169" s="30">
        <f ca="1">-(G170*SUM(G18:G19,G15))</f>
        <v>5983.35676848</v>
      </c>
      <c r="H169" s="30">
        <f ca="1">-(H170*SUM(H18:H19,H15))</f>
        <v>5678.4357023940011</v>
      </c>
      <c r="I169" s="30">
        <f ca="1">-(I170*SUM(I18:I19,I15))</f>
        <v>5644.455701515315</v>
      </c>
      <c r="J169" s="30">
        <f ca="1">-(J170*SUM(J18:J19,J15))</f>
        <v>5986.1434881287832</v>
      </c>
    </row>
    <row r="170" spans="2:10" ht="15.75" outlineLevel="1" x14ac:dyDescent="0.25">
      <c r="B170" s="26" t="s">
        <v>103</v>
      </c>
      <c r="D170" s="24">
        <f>-(D169/SUM(D18:D19,D15))</f>
        <v>2.7956260240270779E-2</v>
      </c>
      <c r="E170" s="24">
        <f>-(E169/SUM(E18:E19,E15))</f>
        <v>3.1562748415238172E-2</v>
      </c>
      <c r="F170" s="25">
        <v>0.03</v>
      </c>
      <c r="G170" s="25">
        <v>0.03</v>
      </c>
      <c r="H170" s="25">
        <v>2.8000000000000001E-2</v>
      </c>
      <c r="I170" s="25">
        <v>2.5000000000000001E-2</v>
      </c>
      <c r="J170" s="25">
        <v>2.5000000000000001E-2</v>
      </c>
    </row>
    <row r="171" spans="2:10" ht="5.25" customHeight="1" outlineLevel="1" x14ac:dyDescent="0.25">
      <c r="B171" s="26"/>
    </row>
    <row r="172" spans="2:10" ht="15.75" outlineLevel="1" x14ac:dyDescent="0.25">
      <c r="B172" s="27" t="s">
        <v>104</v>
      </c>
    </row>
    <row r="173" spans="2:10" ht="15.75" outlineLevel="1" x14ac:dyDescent="0.25">
      <c r="B173" s="26" t="s">
        <v>65</v>
      </c>
      <c r="F173" s="30">
        <f>E175</f>
        <v>0</v>
      </c>
      <c r="G173" s="30">
        <f>F175</f>
        <v>-15773.8</v>
      </c>
      <c r="H173" s="30">
        <f>G175</f>
        <v>-31547.599999999999</v>
      </c>
      <c r="I173" s="30">
        <f>H175</f>
        <v>-47321.399999999994</v>
      </c>
      <c r="J173" s="30">
        <f>I175</f>
        <v>-63095.199999999997</v>
      </c>
    </row>
    <row r="174" spans="2:10" ht="15.75" outlineLevel="1" x14ac:dyDescent="0.25">
      <c r="B174" s="26" t="s">
        <v>105</v>
      </c>
      <c r="F174" s="30">
        <f>F177</f>
        <v>-15773.8</v>
      </c>
      <c r="G174" s="30">
        <f>G177</f>
        <v>-15773.8</v>
      </c>
      <c r="H174" s="30">
        <f>H177</f>
        <v>-15773.8</v>
      </c>
      <c r="I174" s="30">
        <f>I177</f>
        <v>-15773.8</v>
      </c>
      <c r="J174" s="30">
        <f>J177</f>
        <v>-15773.8</v>
      </c>
    </row>
    <row r="175" spans="2:10" ht="15.75" outlineLevel="1" x14ac:dyDescent="0.25">
      <c r="B175" s="37" t="s">
        <v>67</v>
      </c>
      <c r="C175" s="17"/>
      <c r="D175" s="36">
        <f>D70</f>
        <v>0</v>
      </c>
      <c r="E175" s="36">
        <f>E70</f>
        <v>0</v>
      </c>
      <c r="F175" s="36">
        <f>SUM(F173:F174)</f>
        <v>-15773.8</v>
      </c>
      <c r="G175" s="36">
        <f>SUM(G173:G174)</f>
        <v>-31547.599999999999</v>
      </c>
      <c r="H175" s="36">
        <f>SUM(H173:H174)</f>
        <v>-47321.399999999994</v>
      </c>
      <c r="I175" s="36">
        <f>SUM(I173:I174)</f>
        <v>-63095.199999999997</v>
      </c>
      <c r="J175" s="36">
        <f>SUM(J173:J174)</f>
        <v>-78869</v>
      </c>
    </row>
    <row r="176" spans="2:10" ht="5.25" customHeight="1" outlineLevel="1" x14ac:dyDescent="0.25">
      <c r="B176" s="26"/>
    </row>
    <row r="177" spans="1:10" ht="15.75" outlineLevel="1" x14ac:dyDescent="0.25">
      <c r="B177" s="26" t="s">
        <v>106</v>
      </c>
      <c r="D177" s="16">
        <v>0</v>
      </c>
      <c r="E177" s="16">
        <v>0</v>
      </c>
      <c r="F177" s="16">
        <f>-(78869/5)</f>
        <v>-15773.8</v>
      </c>
      <c r="G177" s="16">
        <f>-(78869/5)</f>
        <v>-15773.8</v>
      </c>
      <c r="H177" s="16">
        <f>-(78869/5)</f>
        <v>-15773.8</v>
      </c>
      <c r="I177" s="16">
        <f>-(78869/5)</f>
        <v>-15773.8</v>
      </c>
      <c r="J177" s="16">
        <f>-(78869/5)</f>
        <v>-15773.8</v>
      </c>
    </row>
    <row r="178" spans="1:10" ht="5.25" customHeight="1" x14ac:dyDescent="0.25"/>
    <row r="179" spans="1:10" ht="23.25" x14ac:dyDescent="0.35">
      <c r="A179" s="22"/>
      <c r="B179" s="23" t="s">
        <v>107</v>
      </c>
      <c r="C179" s="22"/>
      <c r="D179" s="22"/>
      <c r="E179" s="22"/>
      <c r="F179" s="22"/>
      <c r="G179" s="22"/>
      <c r="H179" s="22"/>
      <c r="I179" s="22"/>
      <c r="J179" s="22"/>
    </row>
    <row r="180" spans="1:10" ht="5.25" customHeight="1" outlineLevel="1" x14ac:dyDescent="0.25"/>
    <row r="181" spans="1:10" ht="15.75" outlineLevel="1" x14ac:dyDescent="0.25">
      <c r="B181" s="27" t="s">
        <v>108</v>
      </c>
    </row>
    <row r="182" spans="1:10" ht="15.75" outlineLevel="1" x14ac:dyDescent="0.25">
      <c r="B182" s="26" t="s">
        <v>65</v>
      </c>
      <c r="F182" s="30">
        <f>E185</f>
        <v>45898</v>
      </c>
      <c r="G182" s="30">
        <f ca="1">F185</f>
        <v>91365.184437122298</v>
      </c>
      <c r="H182" s="30">
        <f ca="1">G185</f>
        <v>136658.10524781502</v>
      </c>
      <c r="I182" s="30">
        <f ca="1">H185</f>
        <v>183757.89281253071</v>
      </c>
      <c r="J182" s="30">
        <f ca="1">I185</f>
        <v>223830.29070774277</v>
      </c>
    </row>
    <row r="183" spans="1:10" ht="15.75" outlineLevel="1" x14ac:dyDescent="0.25">
      <c r="B183" s="26" t="s">
        <v>109</v>
      </c>
      <c r="F183" s="13">
        <f ca="1">F187</f>
        <v>60622.912582830279</v>
      </c>
      <c r="G183" s="13">
        <f ca="1">G187</f>
        <v>62045.097000928799</v>
      </c>
      <c r="H183" s="13">
        <f ca="1">H187</f>
        <v>67285.410807069333</v>
      </c>
      <c r="I183" s="13">
        <f ca="1">I187</f>
        <v>61649.842913426568</v>
      </c>
      <c r="J183" s="13">
        <f ca="1">J187</f>
        <v>63298.766131500088</v>
      </c>
    </row>
    <row r="184" spans="1:10" ht="15.75" outlineLevel="1" x14ac:dyDescent="0.25">
      <c r="B184" s="26" t="s">
        <v>110</v>
      </c>
      <c r="F184" s="13">
        <f ca="1">F189</f>
        <v>-15155.72814570757</v>
      </c>
      <c r="G184" s="13">
        <f ca="1">G189</f>
        <v>-16752.176190250779</v>
      </c>
      <c r="H184" s="13">
        <f ca="1">H189</f>
        <v>-20185.623242120801</v>
      </c>
      <c r="I184" s="13">
        <f ca="1">I189</f>
        <v>-21577.445019699298</v>
      </c>
      <c r="J184" s="13">
        <f ca="1">J189</f>
        <v>-18989.629839450026</v>
      </c>
    </row>
    <row r="185" spans="1:10" ht="15.75" outlineLevel="1" x14ac:dyDescent="0.25">
      <c r="B185" s="37" t="s">
        <v>67</v>
      </c>
      <c r="C185" s="17"/>
      <c r="D185" s="36">
        <f>D71</f>
        <v>70400</v>
      </c>
      <c r="E185" s="36">
        <f>E71</f>
        <v>45898</v>
      </c>
      <c r="F185" s="36">
        <f ca="1">SUM(F182:F184)</f>
        <v>91365.184437122705</v>
      </c>
      <c r="G185" s="36">
        <f ca="1">SUM(G182:G184)</f>
        <v>136658.1052478003</v>
      </c>
      <c r="H185" s="36">
        <f ca="1">SUM(H182:H184)</f>
        <v>183757.89281276354</v>
      </c>
      <c r="I185" s="36">
        <f ca="1">SUM(I182:I184)</f>
        <v>223830.29070625798</v>
      </c>
      <c r="J185" s="36">
        <f ca="1">SUM(J182:J184)</f>
        <v>268139.42699979286</v>
      </c>
    </row>
    <row r="186" spans="1:10" ht="5.25" customHeight="1" outlineLevel="1" x14ac:dyDescent="0.25">
      <c r="B186" s="26"/>
    </row>
    <row r="187" spans="1:10" ht="15.75" outlineLevel="1" x14ac:dyDescent="0.25">
      <c r="B187" s="26" t="s">
        <v>111</v>
      </c>
      <c r="D187" s="30">
        <f t="shared" ref="D187:J187" si="20">D28</f>
        <v>61977</v>
      </c>
      <c r="E187" s="30">
        <f t="shared" si="20"/>
        <v>56641</v>
      </c>
      <c r="F187" s="30">
        <f t="shared" ca="1" si="20"/>
        <v>60622.912582830199</v>
      </c>
      <c r="G187" s="30">
        <f t="shared" ca="1" si="20"/>
        <v>62045.097000931681</v>
      </c>
      <c r="H187" s="30">
        <f t="shared" ca="1" si="20"/>
        <v>67285.410807040374</v>
      </c>
      <c r="I187" s="30">
        <f t="shared" ca="1" si="20"/>
        <v>61649.842913553643</v>
      </c>
      <c r="J187" s="30">
        <f t="shared" ca="1" si="20"/>
        <v>63298.766131654491</v>
      </c>
    </row>
    <row r="188" spans="1:10" ht="15.75" outlineLevel="1" x14ac:dyDescent="0.25">
      <c r="B188" s="26" t="s">
        <v>112</v>
      </c>
      <c r="D188" s="24">
        <f>-(D189/D187)</f>
        <v>0.22124336447391774</v>
      </c>
      <c r="E188" s="24">
        <f>-(E189/E187)</f>
        <v>0.24927172895958757</v>
      </c>
      <c r="F188" s="25">
        <v>0.25</v>
      </c>
      <c r="G188" s="25">
        <v>0.27</v>
      </c>
      <c r="H188" s="25">
        <v>0.3</v>
      </c>
      <c r="I188" s="25">
        <v>0.35</v>
      </c>
      <c r="J188" s="25">
        <v>0.3</v>
      </c>
    </row>
    <row r="189" spans="1:10" ht="15.75" outlineLevel="1" x14ac:dyDescent="0.25">
      <c r="B189" s="26" t="s">
        <v>113</v>
      </c>
      <c r="D189" s="16">
        <v>-13712</v>
      </c>
      <c r="E189" s="16">
        <v>-14119</v>
      </c>
      <c r="F189" s="30">
        <f ca="1">-(F188*F187)</f>
        <v>-15155.72814570755</v>
      </c>
      <c r="G189" s="30">
        <f ca="1">-(G188*G187)</f>
        <v>-16752.176190251554</v>
      </c>
      <c r="H189" s="30">
        <f ca="1">-(H188*H187)</f>
        <v>-20185.623242112113</v>
      </c>
      <c r="I189" s="30">
        <f ca="1">-(I188*I187)</f>
        <v>-21577.445019743773</v>
      </c>
      <c r="J189" s="30">
        <f ca="1">-(J188*J187)</f>
        <v>-18989.629839496345</v>
      </c>
    </row>
    <row r="190" spans="1:10" ht="5.25" customHeight="1" outlineLevel="1" x14ac:dyDescent="0.25">
      <c r="B190" s="26"/>
    </row>
    <row r="191" spans="1:10" ht="15.75" outlineLevel="1" x14ac:dyDescent="0.25">
      <c r="B191" s="27" t="s">
        <v>51</v>
      </c>
    </row>
    <row r="192" spans="1:10" ht="15.75" outlineLevel="1" x14ac:dyDescent="0.25">
      <c r="B192" s="26" t="s">
        <v>65</v>
      </c>
      <c r="F192" s="30">
        <f>E194</f>
        <v>-584</v>
      </c>
      <c r="G192" s="30">
        <f>F194</f>
        <v>-584</v>
      </c>
      <c r="H192" s="30">
        <f>G194</f>
        <v>-584</v>
      </c>
      <c r="I192" s="30">
        <f>H194</f>
        <v>-584</v>
      </c>
      <c r="J192" s="30">
        <f>I194</f>
        <v>-584</v>
      </c>
    </row>
    <row r="193" spans="1:10" ht="15.75" outlineLevel="1" x14ac:dyDescent="0.25">
      <c r="B193" s="26" t="s">
        <v>114</v>
      </c>
      <c r="F193" s="16">
        <v>0</v>
      </c>
      <c r="G193" s="16">
        <v>0</v>
      </c>
      <c r="H193" s="16">
        <v>0</v>
      </c>
      <c r="I193" s="16">
        <v>0</v>
      </c>
      <c r="J193" s="16">
        <v>0</v>
      </c>
    </row>
    <row r="194" spans="1:10" ht="15.75" outlineLevel="1" x14ac:dyDescent="0.25">
      <c r="B194" s="37" t="s">
        <v>67</v>
      </c>
      <c r="C194" s="17"/>
      <c r="D194" s="36">
        <f>D72</f>
        <v>-3454</v>
      </c>
      <c r="E194" s="36">
        <f>E72</f>
        <v>-584</v>
      </c>
      <c r="F194" s="36">
        <f>SUM(F192:F193)</f>
        <v>-584</v>
      </c>
      <c r="G194" s="36">
        <f>SUM(G192:G193)</f>
        <v>-584</v>
      </c>
      <c r="H194" s="36">
        <f>SUM(H192:H193)</f>
        <v>-584</v>
      </c>
      <c r="I194" s="36">
        <f>SUM(I192:I193)</f>
        <v>-584</v>
      </c>
      <c r="J194" s="36">
        <f>SUM(J192:J193)</f>
        <v>-584</v>
      </c>
    </row>
    <row r="195" spans="1:10" ht="5.25" customHeight="1" x14ac:dyDescent="0.25"/>
    <row r="196" spans="1:10" ht="28.5" x14ac:dyDescent="0.45">
      <c r="A196" s="44" t="s">
        <v>137</v>
      </c>
      <c r="B196" s="14" t="s">
        <v>248</v>
      </c>
      <c r="C196" s="1"/>
      <c r="D196" s="1"/>
      <c r="E196" s="1"/>
      <c r="F196" s="1"/>
      <c r="G196" s="1"/>
      <c r="H196" s="1"/>
      <c r="I196" s="1"/>
      <c r="J196" s="1"/>
    </row>
    <row r="197" spans="1:10" ht="5.25" customHeight="1" x14ac:dyDescent="0.25"/>
    <row r="198" spans="1:10" ht="15.75" x14ac:dyDescent="0.25">
      <c r="B198" s="26" t="s">
        <v>111</v>
      </c>
      <c r="F198" s="80">
        <f ca="1">F28</f>
        <v>60622.912582830199</v>
      </c>
      <c r="G198" s="80">
        <f ca="1">G28</f>
        <v>62045.097000931681</v>
      </c>
      <c r="H198" s="80">
        <f ca="1">H28</f>
        <v>67285.410807040374</v>
      </c>
      <c r="I198" s="80">
        <f ca="1">I28</f>
        <v>61649.842913553643</v>
      </c>
      <c r="J198" s="80">
        <f ca="1">J28</f>
        <v>63298.766131654491</v>
      </c>
    </row>
    <row r="199" spans="1:10" ht="15.75" x14ac:dyDescent="0.25">
      <c r="B199" s="26" t="s">
        <v>35</v>
      </c>
      <c r="F199" s="30">
        <f ca="1">F45</f>
        <v>10744.565885833334</v>
      </c>
      <c r="G199" s="30">
        <f ca="1">G45</f>
        <v>11187.766270666667</v>
      </c>
      <c r="H199" s="30">
        <f ca="1">H45</f>
        <v>11792.710326949998</v>
      </c>
      <c r="I199" s="30">
        <f ca="1">I45</f>
        <v>12675.042145508334</v>
      </c>
      <c r="J199" s="30">
        <f ca="1">J45</f>
        <v>13848.631114455417</v>
      </c>
    </row>
    <row r="200" spans="1:10" ht="15.75" x14ac:dyDescent="0.25">
      <c r="B200" s="26" t="s">
        <v>36</v>
      </c>
      <c r="F200" s="30">
        <f ca="1">F169</f>
        <v>5753.2276619999993</v>
      </c>
      <c r="G200" s="30">
        <f ca="1">G169</f>
        <v>5983.35676848</v>
      </c>
      <c r="H200" s="30">
        <f ca="1">H169</f>
        <v>5678.4357023940011</v>
      </c>
      <c r="I200" s="30">
        <f ca="1">I169</f>
        <v>5644.455701515315</v>
      </c>
      <c r="J200" s="30">
        <f ca="1">J169</f>
        <v>5986.1434881287832</v>
      </c>
    </row>
    <row r="201" spans="1:10" ht="15.75" x14ac:dyDescent="0.25">
      <c r="B201" s="26" t="s">
        <v>41</v>
      </c>
      <c r="F201" s="30">
        <f ca="1">-(F88)</f>
        <v>-255.50339999999778</v>
      </c>
      <c r="G201" s="30">
        <f ca="1">-(G88)</f>
        <v>-653.29691400000229</v>
      </c>
      <c r="H201" s="30">
        <f ca="1">-(H88)</f>
        <v>-1191.7400157000011</v>
      </c>
      <c r="I201" s="30">
        <f ca="1">-(I88)</f>
        <v>-647.23811197500618</v>
      </c>
      <c r="J201" s="30">
        <f ca="1">-(J88)</f>
        <v>-1283.6889220837511</v>
      </c>
    </row>
    <row r="202" spans="1:10" ht="15.75" x14ac:dyDescent="0.25">
      <c r="B202" s="26" t="s">
        <v>42</v>
      </c>
      <c r="F202" s="30">
        <f ca="1">-(F96)</f>
        <v>154.60737500000005</v>
      </c>
      <c r="G202" s="30">
        <f ca="1">-(G96)</f>
        <v>-158.05570500000022</v>
      </c>
      <c r="H202" s="30">
        <f ca="1">-(H96)</f>
        <v>-25.684052062500996</v>
      </c>
      <c r="I202" s="30">
        <f ca="1">-(I96)</f>
        <v>-172.02150709380021</v>
      </c>
      <c r="J202" s="30">
        <f ca="1">-(J96)</f>
        <v>-288.30142967739721</v>
      </c>
    </row>
    <row r="203" spans="1:10" ht="15.75" x14ac:dyDescent="0.25">
      <c r="B203" s="26" t="s">
        <v>44</v>
      </c>
      <c r="F203" s="30">
        <f ca="1">F104</f>
        <v>-1453.5502500000002</v>
      </c>
      <c r="G203" s="30">
        <f ca="1">G104</f>
        <v>3161.1140999999989</v>
      </c>
      <c r="H203" s="30">
        <f ca="1">H104</f>
        <v>6712.0989390000104</v>
      </c>
      <c r="I203" s="30">
        <f ca="1">I104</f>
        <v>5753.2276620000048</v>
      </c>
      <c r="J203" s="30">
        <f ca="1">J104</f>
        <v>-3322.4889748049973</v>
      </c>
    </row>
    <row r="204" spans="1:10" ht="15.75" x14ac:dyDescent="0.25">
      <c r="B204" s="26" t="s">
        <v>115</v>
      </c>
      <c r="F204" s="30">
        <f ca="1">F112</f>
        <v>1669.3087500000001</v>
      </c>
      <c r="G204" s="30">
        <f ca="1">G112</f>
        <v>526.85235000000102</v>
      </c>
      <c r="H204" s="30">
        <f ca="1">H112</f>
        <v>3561.5218859999986</v>
      </c>
      <c r="I204" s="30">
        <f ca="1">I112</f>
        <v>1467.0730538100033</v>
      </c>
      <c r="J204" s="30">
        <f ca="1">J112</f>
        <v>936.33780199050307</v>
      </c>
    </row>
    <row r="205" spans="1:10" ht="15.75" x14ac:dyDescent="0.25">
      <c r="B205" s="26" t="s">
        <v>90</v>
      </c>
      <c r="F205" s="30">
        <f>-(F133)</f>
        <v>0</v>
      </c>
      <c r="G205" s="30">
        <f>-(G133)</f>
        <v>0</v>
      </c>
      <c r="H205" s="30">
        <f>-(H133)</f>
        <v>0</v>
      </c>
      <c r="I205" s="30">
        <f>-(I133)</f>
        <v>0</v>
      </c>
      <c r="J205" s="30">
        <f>-(J133)</f>
        <v>0</v>
      </c>
    </row>
    <row r="206" spans="1:10" ht="15.75" x14ac:dyDescent="0.25">
      <c r="B206" s="26" t="s">
        <v>62</v>
      </c>
      <c r="F206" s="30">
        <f>-(F138)</f>
        <v>0</v>
      </c>
      <c r="G206" s="30">
        <f>-(G138)</f>
        <v>0</v>
      </c>
      <c r="H206" s="30">
        <f>-(H138)</f>
        <v>0</v>
      </c>
      <c r="I206" s="30">
        <f>-(I138)</f>
        <v>0</v>
      </c>
      <c r="J206" s="30">
        <f>-(J138)</f>
        <v>0</v>
      </c>
    </row>
    <row r="207" spans="1:10" ht="15.75" x14ac:dyDescent="0.25">
      <c r="B207" s="26" t="s">
        <v>63</v>
      </c>
      <c r="F207" s="30">
        <f>F143</f>
        <v>5000</v>
      </c>
      <c r="G207" s="30">
        <f>G143</f>
        <v>5000</v>
      </c>
      <c r="H207" s="30">
        <f>H143</f>
        <v>5000</v>
      </c>
      <c r="I207" s="30">
        <f>I143</f>
        <v>5000</v>
      </c>
      <c r="J207" s="30">
        <f>J143</f>
        <v>5000</v>
      </c>
    </row>
    <row r="208" spans="1:10" ht="15.75" x14ac:dyDescent="0.25">
      <c r="B208" s="26" t="s">
        <v>116</v>
      </c>
      <c r="F208" s="30">
        <f>F151</f>
        <v>0</v>
      </c>
      <c r="G208" s="30">
        <f>G151</f>
        <v>0</v>
      </c>
      <c r="H208" s="30">
        <f>H151</f>
        <v>0</v>
      </c>
      <c r="I208" s="30">
        <f>I151</f>
        <v>0</v>
      </c>
      <c r="J208" s="30">
        <f>J151</f>
        <v>0</v>
      </c>
    </row>
    <row r="209" spans="1:10" ht="15.75" x14ac:dyDescent="0.25">
      <c r="B209" s="37" t="s">
        <v>117</v>
      </c>
      <c r="C209" s="39"/>
      <c r="D209" s="39"/>
      <c r="E209" s="39"/>
      <c r="F209" s="36">
        <f ca="1">SUM(F198:F208)</f>
        <v>82235.568605663531</v>
      </c>
      <c r="G209" s="36">
        <f ca="1">SUM(G198:G208)</f>
        <v>87092.833871078357</v>
      </c>
      <c r="H209" s="36">
        <f ca="1">SUM(H198:H208)</f>
        <v>98812.753593621863</v>
      </c>
      <c r="I209" s="36">
        <f ca="1">SUM(I198:I208)</f>
        <v>91370.381857318498</v>
      </c>
      <c r="J209" s="36">
        <f ca="1">SUM(J198:J208)</f>
        <v>84175.399209663068</v>
      </c>
    </row>
    <row r="210" spans="1:10" ht="5.25" customHeight="1" x14ac:dyDescent="0.25">
      <c r="B210" s="26"/>
    </row>
    <row r="211" spans="1:10" ht="15.75" x14ac:dyDescent="0.25">
      <c r="B211" s="26" t="s">
        <v>118</v>
      </c>
      <c r="F211" s="30">
        <f ca="1">-(F120)</f>
        <v>-11327.325524999998</v>
      </c>
      <c r="G211" s="30">
        <f ca="1">-(G120)</f>
        <v>-12328.34499</v>
      </c>
      <c r="H211" s="30">
        <f ca="1">-(H120)</f>
        <v>-12944.762239500002</v>
      </c>
      <c r="I211" s="30">
        <f ca="1">-(I120)</f>
        <v>-15102.222612750003</v>
      </c>
      <c r="J211" s="30">
        <f ca="1">-(J120)</f>
        <v>-15857.333743387506</v>
      </c>
    </row>
    <row r="212" spans="1:10" ht="15.75" x14ac:dyDescent="0.25">
      <c r="B212" s="37" t="s">
        <v>119</v>
      </c>
      <c r="C212" s="39"/>
      <c r="D212" s="39"/>
      <c r="E212" s="39"/>
      <c r="F212" s="36">
        <f ca="1">SUM(F211)</f>
        <v>-11327.325524999998</v>
      </c>
      <c r="G212" s="36">
        <f ca="1">SUM(G211)</f>
        <v>-12328.34499</v>
      </c>
      <c r="H212" s="36">
        <f ca="1">SUM(H211)</f>
        <v>-12944.762239500002</v>
      </c>
      <c r="I212" s="36">
        <f ca="1">SUM(I211)</f>
        <v>-15102.222612750003</v>
      </c>
      <c r="J212" s="36">
        <f ca="1">SUM(J211)</f>
        <v>-15857.333743387506</v>
      </c>
    </row>
    <row r="213" spans="1:10" ht="5.25" customHeight="1" x14ac:dyDescent="0.25">
      <c r="B213" s="26"/>
    </row>
    <row r="214" spans="1:10" ht="15.75" x14ac:dyDescent="0.25">
      <c r="B214" s="26" t="s">
        <v>47</v>
      </c>
      <c r="F214" s="30">
        <f>F150</f>
        <v>0</v>
      </c>
      <c r="G214" s="30">
        <f>G150</f>
        <v>0</v>
      </c>
      <c r="H214" s="30">
        <f>H150</f>
        <v>2750</v>
      </c>
      <c r="I214" s="30">
        <f>I150</f>
        <v>0</v>
      </c>
      <c r="J214" s="30">
        <f>J150</f>
        <v>0</v>
      </c>
    </row>
    <row r="215" spans="1:10" ht="15.75" x14ac:dyDescent="0.25">
      <c r="B215" s="26" t="s">
        <v>113</v>
      </c>
      <c r="F215" s="30">
        <f ca="1">F184</f>
        <v>-15155.72814570757</v>
      </c>
      <c r="G215" s="30">
        <f ca="1">G184</f>
        <v>-16752.176190250779</v>
      </c>
      <c r="H215" s="30">
        <f ca="1">H184</f>
        <v>-20185.623242120801</v>
      </c>
      <c r="I215" s="30">
        <f ca="1">I184</f>
        <v>-21577.445019699298</v>
      </c>
      <c r="J215" s="30">
        <f ca="1">J184</f>
        <v>-18989.629839450026</v>
      </c>
    </row>
    <row r="216" spans="1:10" ht="15.75" x14ac:dyDescent="0.25">
      <c r="B216" s="26" t="s">
        <v>120</v>
      </c>
      <c r="F216" s="30">
        <f>F164</f>
        <v>0</v>
      </c>
      <c r="G216" s="30">
        <f>G164</f>
        <v>0</v>
      </c>
      <c r="H216" s="30">
        <f>H164</f>
        <v>0</v>
      </c>
      <c r="I216" s="30">
        <f>I164</f>
        <v>0</v>
      </c>
      <c r="J216" s="30">
        <f>J164</f>
        <v>0</v>
      </c>
    </row>
    <row r="217" spans="1:10" ht="15.75" x14ac:dyDescent="0.25">
      <c r="B217" s="26" t="s">
        <v>121</v>
      </c>
      <c r="F217" s="30">
        <f>F174</f>
        <v>-15773.8</v>
      </c>
      <c r="G217" s="30">
        <f>G174</f>
        <v>-15773.8</v>
      </c>
      <c r="H217" s="30">
        <f>H174</f>
        <v>-15773.8</v>
      </c>
      <c r="I217" s="30">
        <f>I174</f>
        <v>-15773.8</v>
      </c>
      <c r="J217" s="30">
        <f>J174</f>
        <v>-15773.8</v>
      </c>
    </row>
    <row r="218" spans="1:10" ht="15.75" x14ac:dyDescent="0.25">
      <c r="B218" s="26" t="s">
        <v>51</v>
      </c>
      <c r="F218" s="30">
        <f>F193</f>
        <v>0</v>
      </c>
      <c r="G218" s="30">
        <f>G193</f>
        <v>0</v>
      </c>
      <c r="H218" s="30">
        <f>H193</f>
        <v>0</v>
      </c>
      <c r="I218" s="30">
        <f>I193</f>
        <v>0</v>
      </c>
      <c r="J218" s="30">
        <f>J193</f>
        <v>0</v>
      </c>
    </row>
    <row r="219" spans="1:10" ht="15.75" x14ac:dyDescent="0.25">
      <c r="B219" s="26" t="s">
        <v>46</v>
      </c>
      <c r="F219" s="13">
        <f ca="1">F227</f>
        <v>0</v>
      </c>
      <c r="G219" s="13">
        <f ca="1">G227</f>
        <v>0</v>
      </c>
      <c r="H219" s="13">
        <f ca="1">H227</f>
        <v>0</v>
      </c>
      <c r="I219" s="13">
        <f ca="1">I227</f>
        <v>0</v>
      </c>
      <c r="J219" s="13">
        <f ca="1">J227</f>
        <v>0</v>
      </c>
    </row>
    <row r="220" spans="1:10" ht="15.75" x14ac:dyDescent="0.25">
      <c r="B220" s="37" t="s">
        <v>122</v>
      </c>
      <c r="C220" s="39"/>
      <c r="D220" s="39"/>
      <c r="E220" s="39"/>
      <c r="F220" s="36">
        <f ca="1">SUM(F214:F219)</f>
        <v>-30929.528145707569</v>
      </c>
      <c r="G220" s="36">
        <f ca="1">SUM(G214:G219)</f>
        <v>-32525.976190250778</v>
      </c>
      <c r="H220" s="36">
        <f ca="1">SUM(H214:H219)</f>
        <v>-33209.4232421208</v>
      </c>
      <c r="I220" s="36">
        <f ca="1">SUM(I214:I219)</f>
        <v>-37351.245019699301</v>
      </c>
      <c r="J220" s="36">
        <f ca="1">SUM(J214:J219)</f>
        <v>-34763.429839450022</v>
      </c>
    </row>
    <row r="221" spans="1:10" ht="5.25" customHeight="1" x14ac:dyDescent="0.25">
      <c r="B221" s="26"/>
    </row>
    <row r="222" spans="1:10" ht="16.5" thickBot="1" x14ac:dyDescent="0.3">
      <c r="B222" s="29" t="s">
        <v>123</v>
      </c>
      <c r="C222" s="40"/>
      <c r="D222" s="40"/>
      <c r="E222" s="40"/>
      <c r="F222" s="38">
        <f ca="1">F209+F212+F220</f>
        <v>39978.71493495597</v>
      </c>
      <c r="G222" s="38">
        <f ca="1">G209+G212+G220</f>
        <v>42238.512690827585</v>
      </c>
      <c r="H222" s="38">
        <f ca="1">H209+H212+H220</f>
        <v>52658.568112001056</v>
      </c>
      <c r="I222" s="38">
        <f ca="1">I209+I212+I220</f>
        <v>38916.914224869193</v>
      </c>
      <c r="J222" s="38">
        <f ca="1">J209+J212+J220</f>
        <v>33554.635626825533</v>
      </c>
    </row>
    <row r="223" spans="1:10" ht="5.25" customHeight="1" thickTop="1" x14ac:dyDescent="0.25"/>
    <row r="224" spans="1:10" ht="23.25" x14ac:dyDescent="0.35">
      <c r="A224" s="22"/>
      <c r="B224" s="23" t="s">
        <v>124</v>
      </c>
      <c r="C224" s="22"/>
      <c r="D224" s="22"/>
      <c r="E224" s="22"/>
      <c r="F224" s="22"/>
      <c r="G224" s="22"/>
      <c r="H224" s="22"/>
      <c r="I224" s="22"/>
      <c r="J224" s="22"/>
    </row>
    <row r="225" spans="2:10" ht="5.25" customHeight="1" outlineLevel="1" x14ac:dyDescent="0.25"/>
    <row r="226" spans="2:10" ht="15.75" outlineLevel="1" x14ac:dyDescent="0.25">
      <c r="B226" s="26" t="s">
        <v>65</v>
      </c>
      <c r="F226" s="30">
        <f>E228</f>
        <v>0</v>
      </c>
      <c r="G226" s="30">
        <f ca="1">F228</f>
        <v>0</v>
      </c>
      <c r="H226" s="30">
        <f ca="1">G228</f>
        <v>0</v>
      </c>
      <c r="I226" s="30">
        <f ca="1">H228</f>
        <v>0</v>
      </c>
      <c r="J226" s="30">
        <f ca="1">I228</f>
        <v>0</v>
      </c>
    </row>
    <row r="227" spans="2:10" ht="15.75" outlineLevel="1" x14ac:dyDescent="0.25">
      <c r="B227" s="26" t="s">
        <v>66</v>
      </c>
      <c r="F227" s="30">
        <f ca="1">-MIN(F238,F226)</f>
        <v>0</v>
      </c>
      <c r="G227" s="30">
        <f ca="1">-MIN(G238,G226)</f>
        <v>0</v>
      </c>
      <c r="H227" s="30">
        <f ca="1">-MIN(H238,H226)</f>
        <v>0</v>
      </c>
      <c r="I227" s="30">
        <f ca="1">-MIN(I238,I226)</f>
        <v>0</v>
      </c>
      <c r="J227" s="30">
        <f ca="1">-MIN(J238,J226)</f>
        <v>0</v>
      </c>
    </row>
    <row r="228" spans="2:10" ht="15.75" outlineLevel="1" x14ac:dyDescent="0.25">
      <c r="B228" s="37" t="s">
        <v>67</v>
      </c>
      <c r="C228" s="17"/>
      <c r="D228" s="36">
        <f>D63</f>
        <v>0</v>
      </c>
      <c r="E228" s="36">
        <f>E63</f>
        <v>0</v>
      </c>
      <c r="F228" s="36">
        <f ca="1">SUM(F226:F227)</f>
        <v>0</v>
      </c>
      <c r="G228" s="36">
        <f ca="1">SUM(G226:G227)</f>
        <v>0</v>
      </c>
      <c r="H228" s="36">
        <f ca="1">SUM(H226:H227)</f>
        <v>0</v>
      </c>
      <c r="I228" s="36">
        <f ca="1">SUM(I226:I227)</f>
        <v>0</v>
      </c>
      <c r="J228" s="36">
        <f ca="1">SUM(J226:J227)</f>
        <v>0</v>
      </c>
    </row>
    <row r="229" spans="2:10" ht="5.25" customHeight="1" outlineLevel="1" x14ac:dyDescent="0.25">
      <c r="B229" s="26"/>
    </row>
    <row r="230" spans="2:10" ht="15.75" outlineLevel="1" x14ac:dyDescent="0.25">
      <c r="B230" s="26" t="s">
        <v>125</v>
      </c>
      <c r="F230" s="30">
        <f ca="1">F53+F54</f>
        <v>27132.896024999998</v>
      </c>
      <c r="G230" s="30">
        <f ca="1">G53+G54</f>
        <v>27944.248643999999</v>
      </c>
      <c r="H230" s="30">
        <f ca="1">H53+H54</f>
        <v>29161.672711762501</v>
      </c>
      <c r="I230" s="30">
        <f ca="1">I53+I54</f>
        <v>29980.932330831311</v>
      </c>
      <c r="J230" s="30">
        <f ca="1">J53+J54</f>
        <v>31552.922682592456</v>
      </c>
    </row>
    <row r="231" spans="2:10" ht="15.75" outlineLevel="1" x14ac:dyDescent="0.25">
      <c r="B231" s="26" t="s">
        <v>126</v>
      </c>
      <c r="F231" s="45" t="str">
        <f ca="1">IF(F228&gt;F230,"OVERDRAWN","OK")</f>
        <v>OK</v>
      </c>
      <c r="G231" s="45" t="str">
        <f ca="1">IF(G228&gt;G230,"OVERDRAWN","OK")</f>
        <v>OK</v>
      </c>
      <c r="H231" s="45" t="str">
        <f ca="1">IF(H228&gt;H230,"OVERDRAWN","OK")</f>
        <v>OK</v>
      </c>
      <c r="I231" s="45" t="str">
        <f ca="1">IF(I228&gt;I230,"OVERDRAWN","OK")</f>
        <v>OK</v>
      </c>
      <c r="J231" s="45" t="str">
        <f ca="1">IF(J228&gt;J230,"OVERDRAWN","OK")</f>
        <v>OK</v>
      </c>
    </row>
    <row r="232" spans="2:10" ht="5.25" customHeight="1" outlineLevel="1" x14ac:dyDescent="0.25">
      <c r="B232" s="26"/>
    </row>
    <row r="233" spans="2:10" ht="15.75" outlineLevel="1" x14ac:dyDescent="0.25">
      <c r="B233" s="27" t="s">
        <v>127</v>
      </c>
    </row>
    <row r="234" spans="2:10" ht="15.75" outlineLevel="1" x14ac:dyDescent="0.25">
      <c r="B234" s="26" t="s">
        <v>65</v>
      </c>
      <c r="F234" s="30">
        <f>E52</f>
        <v>205898</v>
      </c>
      <c r="G234" s="30">
        <f ca="1">F52</f>
        <v>245876.7149349562</v>
      </c>
      <c r="H234" s="30">
        <f ca="1">G52</f>
        <v>288115.22762577637</v>
      </c>
      <c r="I234" s="30">
        <f ca="1">H52</f>
        <v>340773.79573786247</v>
      </c>
      <c r="J234" s="30">
        <f ca="1">I52</f>
        <v>379690.70996245428</v>
      </c>
    </row>
    <row r="235" spans="2:10" ht="15.75" outlineLevel="1" x14ac:dyDescent="0.25">
      <c r="B235" s="26" t="s">
        <v>128</v>
      </c>
      <c r="F235" s="42">
        <v>5000</v>
      </c>
      <c r="G235" s="42">
        <v>5001</v>
      </c>
      <c r="H235" s="42">
        <v>5002</v>
      </c>
      <c r="I235" s="42">
        <v>5003</v>
      </c>
      <c r="J235" s="42">
        <v>5004</v>
      </c>
    </row>
    <row r="236" spans="2:10" ht="15.75" outlineLevel="1" x14ac:dyDescent="0.25">
      <c r="B236" s="26" t="s">
        <v>129</v>
      </c>
      <c r="F236" s="30">
        <f>F234-F235</f>
        <v>200898</v>
      </c>
      <c r="G236" s="30">
        <f ca="1">G234-G235</f>
        <v>240875.7149349562</v>
      </c>
      <c r="H236" s="30">
        <f ca="1">H234-H235</f>
        <v>283113.22762577637</v>
      </c>
      <c r="I236" s="30">
        <f ca="1">I234-I235</f>
        <v>335770.79573786247</v>
      </c>
      <c r="J236" s="30">
        <f ca="1">J234-J235</f>
        <v>374686.70996245428</v>
      </c>
    </row>
    <row r="237" spans="2:10" ht="15.75" outlineLevel="1" x14ac:dyDescent="0.25">
      <c r="B237" s="26" t="s">
        <v>130</v>
      </c>
      <c r="F237" s="30">
        <f ca="1">SUM(F209,F212,F214:F218)</f>
        <v>39978.714934955962</v>
      </c>
      <c r="G237" s="30">
        <f ca="1">SUM(G209,G212,G214:G218)</f>
        <v>42238.512690827585</v>
      </c>
      <c r="H237" s="30">
        <f ca="1">SUM(H209,H212,H214:H218)</f>
        <v>52658.568112001056</v>
      </c>
      <c r="I237" s="30">
        <f ca="1">SUM(I209,I212,I214:I218)</f>
        <v>38916.914224869193</v>
      </c>
      <c r="J237" s="30">
        <f ca="1">SUM(J209,J212,J214:J218)</f>
        <v>33554.635626825533</v>
      </c>
    </row>
    <row r="238" spans="2:10" ht="15.75" outlineLevel="1" x14ac:dyDescent="0.25">
      <c r="B238" s="37" t="s">
        <v>131</v>
      </c>
      <c r="C238" s="39"/>
      <c r="D238" s="39"/>
      <c r="E238" s="39"/>
      <c r="F238" s="36">
        <f ca="1">F236+F237</f>
        <v>240876.71493495596</v>
      </c>
      <c r="G238" s="36">
        <f ca="1">G236+G237</f>
        <v>283114.22762578377</v>
      </c>
      <c r="H238" s="36">
        <f ca="1">H236+H237</f>
        <v>335771.79573777743</v>
      </c>
      <c r="I238" s="36">
        <f ca="1">I236+I237</f>
        <v>374687.70996273169</v>
      </c>
      <c r="J238" s="36">
        <f ca="1">J236+J237</f>
        <v>408241.34558927978</v>
      </c>
    </row>
    <row r="239" spans="2:10" ht="5.25" customHeight="1" outlineLevel="1" x14ac:dyDescent="0.25">
      <c r="B239" s="26"/>
    </row>
    <row r="240" spans="2:10" ht="15.75" outlineLevel="1" x14ac:dyDescent="0.25">
      <c r="B240" s="26" t="s">
        <v>132</v>
      </c>
      <c r="F240" s="25">
        <v>2.5000000000000001E-2</v>
      </c>
      <c r="G240" s="25">
        <v>2.5000000000000001E-2</v>
      </c>
      <c r="H240" s="25">
        <v>2.5000000000000001E-2</v>
      </c>
      <c r="I240" s="25">
        <v>2.5000000000000001E-2</v>
      </c>
      <c r="J240" s="25">
        <v>2.5000000000000001E-2</v>
      </c>
    </row>
    <row r="241" spans="1:10" ht="15.75" outlineLevel="1" x14ac:dyDescent="0.25">
      <c r="B241" s="26" t="s">
        <v>133</v>
      </c>
      <c r="F241" s="30">
        <f ca="1">F240*AVERAGE(F226,F228)</f>
        <v>0</v>
      </c>
      <c r="G241" s="30">
        <f ca="1">G240*AVERAGE(G226,G228)</f>
        <v>0</v>
      </c>
      <c r="H241" s="30">
        <f ca="1">H240*AVERAGE(H226,H228)</f>
        <v>0</v>
      </c>
      <c r="I241" s="30">
        <f ca="1">I240*AVERAGE(I226,I228)</f>
        <v>0</v>
      </c>
      <c r="J241" s="30">
        <f ca="1">J240*AVERAGE(J226,J228)</f>
        <v>0</v>
      </c>
    </row>
    <row r="242" spans="1:10" ht="5.25" customHeight="1" outlineLevel="1" x14ac:dyDescent="0.25"/>
    <row r="243" spans="1:10" ht="15.75" outlineLevel="1" x14ac:dyDescent="0.25">
      <c r="B243" s="27" t="s">
        <v>134</v>
      </c>
    </row>
    <row r="244" spans="1:10" ht="15.75" outlineLevel="1" x14ac:dyDescent="0.25">
      <c r="B244" s="26" t="s">
        <v>65</v>
      </c>
      <c r="F244" s="13">
        <f>E246</f>
        <v>205898</v>
      </c>
      <c r="G244" s="13">
        <f ca="1">F246</f>
        <v>245876.71493495483</v>
      </c>
      <c r="H244" s="13">
        <f ca="1">G246</f>
        <v>288115.22762582259</v>
      </c>
      <c r="I244" s="13">
        <f ca="1">H246</f>
        <v>340773.79573745019</v>
      </c>
      <c r="J244" s="13">
        <f ca="1">I246</f>
        <v>379690.70996298455</v>
      </c>
    </row>
    <row r="245" spans="1:10" ht="15.75" outlineLevel="1" x14ac:dyDescent="0.25">
      <c r="B245" s="43" t="s">
        <v>135</v>
      </c>
      <c r="F245" s="13">
        <f ca="1">F246-F244</f>
        <v>39978.714934954827</v>
      </c>
      <c r="G245" s="13">
        <f ca="1">G246-G244</f>
        <v>42238.512690867763</v>
      </c>
      <c r="H245" s="13">
        <f ca="1">H246-H244</f>
        <v>52658.568111627595</v>
      </c>
      <c r="I245" s="13">
        <f ca="1">I246-I244</f>
        <v>38916.914225534361</v>
      </c>
      <c r="J245" s="13">
        <f ca="1">J246-J244</f>
        <v>33554.635628434364</v>
      </c>
    </row>
    <row r="246" spans="1:10" ht="15.75" outlineLevel="1" x14ac:dyDescent="0.25">
      <c r="B246" s="37" t="s">
        <v>67</v>
      </c>
      <c r="C246" s="17"/>
      <c r="D246" s="18">
        <f t="shared" ref="D246:J246" si="21">D52</f>
        <v>237100</v>
      </c>
      <c r="E246" s="18">
        <f t="shared" si="21"/>
        <v>205898</v>
      </c>
      <c r="F246" s="18">
        <f t="shared" ca="1" si="21"/>
        <v>245876.7149349562</v>
      </c>
      <c r="G246" s="18">
        <f t="shared" ca="1" si="21"/>
        <v>288115.22762577637</v>
      </c>
      <c r="H246" s="18">
        <f t="shared" ca="1" si="21"/>
        <v>340773.79573786247</v>
      </c>
      <c r="I246" s="18">
        <f t="shared" ca="1" si="21"/>
        <v>379690.70996245428</v>
      </c>
      <c r="J246" s="18">
        <f t="shared" ca="1" si="21"/>
        <v>413245.34558880696</v>
      </c>
    </row>
    <row r="247" spans="1:10" ht="5.25" customHeight="1" outlineLevel="1" x14ac:dyDescent="0.25">
      <c r="B247" s="26"/>
    </row>
    <row r="248" spans="1:10" ht="15.75" outlineLevel="1" x14ac:dyDescent="0.25">
      <c r="B248" s="26" t="s">
        <v>136</v>
      </c>
      <c r="D248" s="21">
        <v>2.1600000000000001E-2</v>
      </c>
      <c r="E248" s="21">
        <v>2.1899999999999999E-2</v>
      </c>
      <c r="F248" s="21">
        <v>2.1899999999999999E-2</v>
      </c>
      <c r="G248" s="21">
        <v>2.1899999999999999E-2</v>
      </c>
      <c r="H248" s="21">
        <v>2.1899999999999999E-2</v>
      </c>
      <c r="I248" s="21">
        <v>2.1899999999999999E-2</v>
      </c>
      <c r="J248" s="21">
        <v>2.1899999999999999E-2</v>
      </c>
    </row>
    <row r="249" spans="1:10" ht="15.75" outlineLevel="1" x14ac:dyDescent="0.25">
      <c r="B249" s="26" t="s">
        <v>17</v>
      </c>
      <c r="D249" s="13">
        <f>D22</f>
        <v>5686</v>
      </c>
      <c r="E249" s="13">
        <f>E22</f>
        <v>4961</v>
      </c>
      <c r="F249" s="13">
        <f ca="1">AVERAGE(F246,F244)*F248</f>
        <v>4946.9331285377702</v>
      </c>
      <c r="G249" s="13">
        <f ca="1">AVERAGE(G246,G244)*G248</f>
        <v>5847.2117710400062</v>
      </c>
      <c r="H249" s="13">
        <f ca="1">AVERAGE(H246,H244)*H248</f>
        <v>6886.3348058323509</v>
      </c>
      <c r="I249" s="13">
        <f ca="1">AVERAGE(I246,I244)*I248</f>
        <v>7889.0863374139526</v>
      </c>
      <c r="J249" s="13">
        <f ca="1">AVERAGE(J246,J244)*J248</f>
        <v>8682.6498082921171</v>
      </c>
    </row>
    <row r="250" spans="1:10" ht="5.25" customHeight="1" x14ac:dyDescent="0.25"/>
    <row r="251" spans="1:10" ht="23.25" x14ac:dyDescent="0.35">
      <c r="A251" s="22"/>
      <c r="B251" s="23" t="s">
        <v>138</v>
      </c>
      <c r="C251" s="22"/>
      <c r="D251" s="22"/>
      <c r="E251" s="22"/>
      <c r="F251" s="22"/>
      <c r="G251" s="22"/>
      <c r="H251" s="22"/>
      <c r="I251" s="22"/>
      <c r="J251" s="22"/>
    </row>
    <row r="252" spans="1:10" ht="5.25" customHeight="1" outlineLevel="1" x14ac:dyDescent="0.25"/>
    <row r="253" spans="1:10" outlineLevel="1" x14ac:dyDescent="0.25">
      <c r="B253" s="3" t="s">
        <v>23</v>
      </c>
    </row>
    <row r="254" spans="1:10" outlineLevel="1" x14ac:dyDescent="0.25">
      <c r="B254" s="2" t="s">
        <v>139</v>
      </c>
      <c r="F254" s="13">
        <f>E257</f>
        <v>4443.2650000000003</v>
      </c>
      <c r="G254" s="13">
        <f>F257</f>
        <v>4400.4332312698698</v>
      </c>
      <c r="H254" s="13">
        <f>G257</f>
        <v>4362.5572043762832</v>
      </c>
      <c r="I254" s="13">
        <f>H257</f>
        <v>4329.0385965058522</v>
      </c>
      <c r="J254" s="13">
        <f>I257</f>
        <v>4299.3761116647629</v>
      </c>
    </row>
    <row r="255" spans="1:10" outlineLevel="1" x14ac:dyDescent="0.25">
      <c r="B255" s="46" t="s">
        <v>140</v>
      </c>
      <c r="F255" s="2">
        <f>F164/F261</f>
        <v>0</v>
      </c>
      <c r="G255" s="2">
        <f>G164/G261</f>
        <v>0</v>
      </c>
      <c r="H255" s="2">
        <f>H164/H261</f>
        <v>0</v>
      </c>
      <c r="I255" s="2">
        <f>I164/I261</f>
        <v>0</v>
      </c>
      <c r="J255" s="2">
        <f>J164/J261</f>
        <v>0</v>
      </c>
    </row>
    <row r="256" spans="1:10" outlineLevel="1" x14ac:dyDescent="0.25">
      <c r="B256" s="46" t="s">
        <v>141</v>
      </c>
      <c r="F256" s="13">
        <f>F174/F261</f>
        <v>-42.831768730130513</v>
      </c>
      <c r="G256" s="13">
        <f>G174/G261</f>
        <v>-37.876026893586484</v>
      </c>
      <c r="H256" s="13">
        <f>H174/H261</f>
        <v>-33.518607870430522</v>
      </c>
      <c r="I256" s="13">
        <f>I174/I261</f>
        <v>-29.662484841088965</v>
      </c>
      <c r="J256" s="13">
        <f>J174/J261</f>
        <v>-26.249986585034481</v>
      </c>
    </row>
    <row r="257" spans="1:10" outlineLevel="1" x14ac:dyDescent="0.25">
      <c r="B257" s="17" t="s">
        <v>67</v>
      </c>
      <c r="C257" s="17"/>
      <c r="D257" s="17"/>
      <c r="E257" s="49">
        <v>4443.2650000000003</v>
      </c>
      <c r="F257" s="18">
        <f>SUM(F254:F256)</f>
        <v>4400.4332312698698</v>
      </c>
      <c r="G257" s="18">
        <f>SUM(G254:G256)</f>
        <v>4362.5572043762832</v>
      </c>
      <c r="H257" s="18">
        <f>SUM(H254:H256)</f>
        <v>4329.0385965058522</v>
      </c>
      <c r="I257" s="18">
        <f>SUM(I254:I256)</f>
        <v>4299.3761116647629</v>
      </c>
      <c r="J257" s="18">
        <f>SUM(J254:J256)</f>
        <v>4273.1261250797288</v>
      </c>
    </row>
    <row r="258" spans="1:10" ht="5.25" customHeight="1" outlineLevel="1" x14ac:dyDescent="0.25"/>
    <row r="259" spans="1:10" outlineLevel="1" x14ac:dyDescent="0.25">
      <c r="B259" s="2" t="s">
        <v>142</v>
      </c>
      <c r="D259" s="47">
        <f>D34</f>
        <v>12.507020152048975</v>
      </c>
      <c r="E259" s="47">
        <f>E34</f>
        <v>12.265707255825999</v>
      </c>
      <c r="F259" s="42">
        <v>13.91</v>
      </c>
      <c r="G259" s="42">
        <v>15.73</v>
      </c>
      <c r="H259" s="42">
        <v>15.73</v>
      </c>
      <c r="I259" s="42">
        <v>15.73</v>
      </c>
      <c r="J259" s="42">
        <v>15.73</v>
      </c>
    </row>
    <row r="260" spans="1:10" outlineLevel="1" x14ac:dyDescent="0.25">
      <c r="B260" s="2" t="s">
        <v>143</v>
      </c>
      <c r="E260" s="24">
        <f>E259/D259-1</f>
        <v>-1.9294195842759709E-2</v>
      </c>
      <c r="F260" s="24">
        <f>F259/E259-1</f>
        <v>0.13405608905210009</v>
      </c>
      <c r="G260" s="24">
        <f>G259/F259-1</f>
        <v>0.13084112149532712</v>
      </c>
      <c r="H260" s="24">
        <v>0.13</v>
      </c>
      <c r="I260" s="24">
        <v>0.13</v>
      </c>
      <c r="J260" s="24">
        <v>0.13</v>
      </c>
    </row>
    <row r="261" spans="1:10" outlineLevel="1" x14ac:dyDescent="0.25">
      <c r="B261" s="2" t="s">
        <v>144</v>
      </c>
      <c r="E261" s="48">
        <v>324.74</v>
      </c>
      <c r="F261" s="47">
        <f>E261*(1+F260)</f>
        <v>368.27337435877899</v>
      </c>
      <c r="G261" s="47">
        <f>F261*(1+G260)</f>
        <v>416.45867567675009</v>
      </c>
      <c r="H261" s="47">
        <f>G261*(1+H260)</f>
        <v>470.59830351472755</v>
      </c>
      <c r="I261" s="47">
        <f>H261*(1+I260)</f>
        <v>531.77608297164204</v>
      </c>
      <c r="J261" s="47">
        <f>I261*(1+J260)</f>
        <v>600.90697375795548</v>
      </c>
    </row>
    <row r="262" spans="1:10" ht="5.25" customHeight="1" x14ac:dyDescent="0.25"/>
    <row r="263" spans="1:10" ht="23.25" x14ac:dyDescent="0.35">
      <c r="A263" s="22"/>
      <c r="B263" s="23" t="s">
        <v>145</v>
      </c>
      <c r="C263" s="22"/>
      <c r="D263" s="22"/>
      <c r="E263" s="22"/>
      <c r="F263" s="22"/>
      <c r="G263" s="22"/>
      <c r="H263" s="22"/>
      <c r="I263" s="22"/>
      <c r="J263" s="22"/>
    </row>
    <row r="264" spans="1:10" ht="5.25" customHeight="1" outlineLevel="1" x14ac:dyDescent="0.25"/>
    <row r="265" spans="1:10" outlineLevel="1" x14ac:dyDescent="0.25">
      <c r="C265" s="136" t="s">
        <v>146</v>
      </c>
      <c r="D265" s="136"/>
      <c r="E265" s="136"/>
      <c r="F265" s="136"/>
      <c r="G265" s="136"/>
      <c r="H265" s="136"/>
    </row>
    <row r="266" spans="1:10" outlineLevel="1" x14ac:dyDescent="0.25">
      <c r="C266" s="78">
        <f ca="1">F35</f>
        <v>13.614409787650288</v>
      </c>
      <c r="D266" s="52">
        <v>1E-3</v>
      </c>
      <c r="E266" s="52">
        <v>2.5000000000000001E-2</v>
      </c>
      <c r="F266" s="52">
        <v>0.05</v>
      </c>
      <c r="G266" s="52">
        <v>7.4999999999999997E-2</v>
      </c>
      <c r="H266" s="53">
        <v>0.1</v>
      </c>
    </row>
    <row r="267" spans="1:10" outlineLevel="1" x14ac:dyDescent="0.25">
      <c r="C267" s="54">
        <v>0.4</v>
      </c>
      <c r="D267" s="60">
        <f t="dataTable" ref="D267:H271" dt2D="1" dtr="1" r1="F38" r2="F39" ca="1"/>
        <v>13.466637615273326</v>
      </c>
      <c r="E267" s="61">
        <v>13.775031714147289</v>
      </c>
      <c r="F267" s="61">
        <v>14.096275567141159</v>
      </c>
      <c r="G267" s="61">
        <v>14.417519420135029</v>
      </c>
      <c r="H267" s="62">
        <v>14.738763273128898</v>
      </c>
    </row>
    <row r="268" spans="1:10" outlineLevel="1" x14ac:dyDescent="0.25">
      <c r="B268" s="65" t="s">
        <v>147</v>
      </c>
      <c r="C268" s="54">
        <v>0.375</v>
      </c>
      <c r="D268" s="63">
        <v>12.289224311539265</v>
      </c>
      <c r="E268" s="55">
        <v>12.569388720813347</v>
      </c>
      <c r="F268" s="55">
        <v>12.861226647140537</v>
      </c>
      <c r="G268" s="55">
        <v>13.153064573467722</v>
      </c>
      <c r="H268" s="56">
        <v>13.444902499794912</v>
      </c>
    </row>
    <row r="269" spans="1:10" outlineLevel="1" x14ac:dyDescent="0.25">
      <c r="B269" s="65" t="s">
        <v>148</v>
      </c>
      <c r="C269" s="54">
        <v>0.35</v>
      </c>
      <c r="D269" s="63">
        <v>11.111811007805342</v>
      </c>
      <c r="E269" s="55">
        <v>11.363745727479408</v>
      </c>
      <c r="F269" s="55">
        <v>11.626177727139916</v>
      </c>
      <c r="G269" s="55">
        <v>11.88860972680042</v>
      </c>
      <c r="H269" s="56">
        <v>12.15104172646093</v>
      </c>
    </row>
    <row r="270" spans="1:10" outlineLevel="1" x14ac:dyDescent="0.25">
      <c r="B270" s="65" t="s">
        <v>149</v>
      </c>
      <c r="C270" s="54">
        <v>0.32500000000000001</v>
      </c>
      <c r="D270" s="63">
        <v>9.9343977040714204</v>
      </c>
      <c r="E270" s="55">
        <v>10.158102734145471</v>
      </c>
      <c r="F270" s="55">
        <v>10.391128807139296</v>
      </c>
      <c r="G270" s="55">
        <v>10.624154880133121</v>
      </c>
      <c r="H270" s="56">
        <v>10.857180953126948</v>
      </c>
    </row>
    <row r="271" spans="1:10" outlineLevel="1" x14ac:dyDescent="0.25">
      <c r="C271" s="57">
        <v>0.3</v>
      </c>
      <c r="D271" s="64">
        <v>8.7569844003374939</v>
      </c>
      <c r="E271" s="58">
        <v>8.9524597408115305</v>
      </c>
      <c r="F271" s="58">
        <v>9.1560798871386755</v>
      </c>
      <c r="G271" s="58">
        <v>9.3597000334658169</v>
      </c>
      <c r="H271" s="59">
        <v>9.5633201797929601</v>
      </c>
    </row>
  </sheetData>
  <sheetProtection algorithmName="SHA-512" hashValue="l8WbMTtNahQB2Ggsf3smO3IO51x6R5AP2LWpCYKqzlH9Ml5tU6wvEXoE5vZqJsZzsFvJrbugALWVlWRESvDyLg==" saltValue="KGBGzC8Wrtb7rGT0MpTWIw==" spinCount="100000" sheet="1" objects="1" scenarios="1"/>
  <mergeCells count="3">
    <mergeCell ref="C1:E1"/>
    <mergeCell ref="F1:J1"/>
    <mergeCell ref="C265:H265"/>
  </mergeCells>
  <dataValidations count="1">
    <dataValidation type="list" allowBlank="1" showInputMessage="1" showErrorMessage="1" sqref="C10" xr:uid="{4F71278C-41D9-4DE3-9FD9-E129E390D0B9}">
      <formula1>"ON,OFF"</formula1>
    </dataValidation>
  </dataValidations>
  <pageMargins left="0.7" right="0.7" top="0.75" bottom="0.75" header="0.3" footer="0.3"/>
  <pageSetup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2881B6F4-B905-4E1D-B5D1-19786F6A8EF1}">
          <x14:formula1>
            <xm:f>'Scenario Assumptions'!$B$10:$B$12</xm:f>
          </x14:formula1>
          <xm:sqref>C9</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8E025E-DA0F-4121-A73E-1AB9B4FAB071}">
  <dimension ref="A1:J29"/>
  <sheetViews>
    <sheetView zoomScale="140" zoomScaleNormal="140" workbookViewId="0">
      <pane ySplit="2" topLeftCell="A3" activePane="bottomLeft" state="frozen"/>
      <selection pane="bottomLeft" activeCell="C21" sqref="C21"/>
    </sheetView>
  </sheetViews>
  <sheetFormatPr defaultRowHeight="15" x14ac:dyDescent="0.25"/>
  <cols>
    <col min="1" max="1" width="1.7109375" style="2" customWidth="1"/>
    <col min="2" max="2" width="50.28515625" style="2" bestFit="1" customWidth="1"/>
    <col min="3" max="3" width="9.140625" style="2"/>
    <col min="4" max="10" width="13.7109375" style="2" bestFit="1" customWidth="1"/>
    <col min="11" max="16384" width="9.140625" style="2"/>
  </cols>
  <sheetData>
    <row r="1" spans="1:10" x14ac:dyDescent="0.25">
      <c r="A1" s="1"/>
      <c r="B1" s="4" t="s">
        <v>167</v>
      </c>
      <c r="C1" s="135" t="s">
        <v>10</v>
      </c>
      <c r="D1" s="135"/>
      <c r="E1" s="135"/>
      <c r="F1" s="134" t="s">
        <v>11</v>
      </c>
      <c r="G1" s="134"/>
      <c r="H1" s="134"/>
      <c r="I1" s="134"/>
      <c r="J1" s="134"/>
    </row>
    <row r="2" spans="1:10" ht="28.5" x14ac:dyDescent="0.45">
      <c r="A2" s="1"/>
      <c r="B2" s="14" t="s">
        <v>166</v>
      </c>
      <c r="C2" s="50">
        <v>2017</v>
      </c>
      <c r="D2" s="50">
        <v>2018</v>
      </c>
      <c r="E2" s="50">
        <v>2019</v>
      </c>
      <c r="F2" s="51">
        <v>2020</v>
      </c>
      <c r="G2" s="51">
        <v>2021</v>
      </c>
      <c r="H2" s="51">
        <v>2022</v>
      </c>
      <c r="I2" s="51">
        <v>2023</v>
      </c>
      <c r="J2" s="51">
        <v>2024</v>
      </c>
    </row>
    <row r="3" spans="1:10" ht="5.25" customHeight="1" x14ac:dyDescent="0.25"/>
    <row r="4" spans="1:10" ht="15.75" x14ac:dyDescent="0.25">
      <c r="B4" s="85" t="s">
        <v>65</v>
      </c>
      <c r="D4" s="13"/>
      <c r="E4" s="13"/>
      <c r="F4" s="30">
        <f>E7</f>
        <v>37378</v>
      </c>
      <c r="G4" s="30">
        <f t="shared" ref="G4:J4" ca="1" si="0">F7</f>
        <v>37960.759639166667</v>
      </c>
      <c r="H4" s="30">
        <f t="shared" ca="1" si="0"/>
        <v>39101.338358499997</v>
      </c>
      <c r="I4" s="30">
        <f t="shared" ca="1" si="0"/>
        <v>40253.390271049997</v>
      </c>
      <c r="J4" s="30">
        <f t="shared" ca="1" si="0"/>
        <v>42680.570738291666</v>
      </c>
    </row>
    <row r="5" spans="1:10" ht="15.75" x14ac:dyDescent="0.25">
      <c r="B5" s="86" t="s">
        <v>79</v>
      </c>
      <c r="D5" s="13"/>
      <c r="E5" s="13"/>
      <c r="F5" s="30">
        <f ca="1">F10</f>
        <v>11327.325524999998</v>
      </c>
      <c r="G5" s="30">
        <f t="shared" ref="G5:J5" ca="1" si="1">G10</f>
        <v>12328.34499</v>
      </c>
      <c r="H5" s="30">
        <f t="shared" ca="1" si="1"/>
        <v>12944.762239500002</v>
      </c>
      <c r="I5" s="30">
        <f t="shared" ca="1" si="1"/>
        <v>15102.222612750003</v>
      </c>
      <c r="J5" s="30">
        <f t="shared" ca="1" si="1"/>
        <v>15857.333743387506</v>
      </c>
    </row>
    <row r="6" spans="1:10" ht="15.75" x14ac:dyDescent="0.25">
      <c r="B6" s="86" t="s">
        <v>80</v>
      </c>
      <c r="D6" s="13"/>
      <c r="E6" s="13"/>
      <c r="F6" s="30">
        <f ca="1">F12</f>
        <v>-10744.565885833334</v>
      </c>
      <c r="G6" s="30">
        <f t="shared" ref="G6:J6" ca="1" si="2">G12</f>
        <v>-11187.766270666667</v>
      </c>
      <c r="H6" s="30">
        <f t="shared" ca="1" si="2"/>
        <v>-11792.710326949998</v>
      </c>
      <c r="I6" s="30">
        <f t="shared" ca="1" si="2"/>
        <v>-12675.042145508334</v>
      </c>
      <c r="J6" s="30">
        <f t="shared" ca="1" si="2"/>
        <v>-13848.631114455417</v>
      </c>
    </row>
    <row r="7" spans="1:10" ht="15.75" x14ac:dyDescent="0.25">
      <c r="B7" s="88" t="s">
        <v>67</v>
      </c>
      <c r="C7" s="17"/>
      <c r="D7" s="89">
        <f>'Financial Statements'!D122</f>
        <v>41304</v>
      </c>
      <c r="E7" s="89">
        <f>'Financial Statements'!E122</f>
        <v>37378</v>
      </c>
      <c r="F7" s="36">
        <f ca="1">SUM(F4:F6)</f>
        <v>37960.759639166667</v>
      </c>
      <c r="G7" s="36">
        <f t="shared" ref="G7:J7" ca="1" si="3">SUM(G4:G6)</f>
        <v>39101.338358499997</v>
      </c>
      <c r="H7" s="36">
        <f t="shared" ca="1" si="3"/>
        <v>40253.390271049997</v>
      </c>
      <c r="I7" s="36">
        <f t="shared" ca="1" si="3"/>
        <v>42680.570738291666</v>
      </c>
      <c r="J7" s="36">
        <f t="shared" ca="1" si="3"/>
        <v>44689.273367223752</v>
      </c>
    </row>
    <row r="8" spans="1:10" ht="5.25" customHeight="1" x14ac:dyDescent="0.25">
      <c r="B8" s="84"/>
      <c r="D8" s="13"/>
      <c r="E8" s="13"/>
      <c r="F8" s="13"/>
      <c r="G8" s="13"/>
      <c r="H8" s="13"/>
      <c r="I8" s="13"/>
      <c r="J8" s="13"/>
    </row>
    <row r="9" spans="1:10" ht="15.75" x14ac:dyDescent="0.25">
      <c r="B9" s="85" t="s">
        <v>12</v>
      </c>
      <c r="D9" s="87">
        <f>'Financial Statements'!D14</f>
        <v>265595</v>
      </c>
      <c r="E9" s="87">
        <f>'Financial Statements'!E14</f>
        <v>260174</v>
      </c>
      <c r="F9" s="87">
        <f ca="1">'Financial Statements'!F14</f>
        <v>263426.17499999999</v>
      </c>
      <c r="G9" s="87">
        <f ca="1">'Financial Statements'!G14</f>
        <v>273963.22200000001</v>
      </c>
      <c r="H9" s="87">
        <f ca="1">'Financial Statements'!H14</f>
        <v>287661.38310000004</v>
      </c>
      <c r="I9" s="87">
        <f ca="1">'Financial Statements'!I14</f>
        <v>302044.45225500007</v>
      </c>
      <c r="J9" s="87">
        <f ca="1">'Financial Statements'!J14</f>
        <v>317146.67486775009</v>
      </c>
    </row>
    <row r="10" spans="1:10" ht="15.75" x14ac:dyDescent="0.25">
      <c r="B10" s="85" t="s">
        <v>81</v>
      </c>
      <c r="D10" s="87">
        <f>'Financial Statements'!D124</f>
        <v>13313</v>
      </c>
      <c r="E10" s="87">
        <f>'Financial Statements'!E124</f>
        <v>10495</v>
      </c>
      <c r="F10" s="30">
        <f ca="1">F11*F9</f>
        <v>11327.325524999998</v>
      </c>
      <c r="G10" s="30">
        <f t="shared" ref="G10:J10" ca="1" si="4">G11*G9</f>
        <v>12328.34499</v>
      </c>
      <c r="H10" s="30">
        <f t="shared" ca="1" si="4"/>
        <v>12944.762239500002</v>
      </c>
      <c r="I10" s="30">
        <f t="shared" ca="1" si="4"/>
        <v>15102.222612750003</v>
      </c>
      <c r="J10" s="30">
        <f t="shared" ca="1" si="4"/>
        <v>15857.333743387506</v>
      </c>
    </row>
    <row r="11" spans="1:10" ht="15.75" x14ac:dyDescent="0.25">
      <c r="B11" s="85" t="s">
        <v>82</v>
      </c>
      <c r="D11" s="24">
        <f>D10/D9</f>
        <v>5.0125190609762983E-2</v>
      </c>
      <c r="E11" s="24">
        <f t="shared" ref="E11" si="5">E10/E9</f>
        <v>4.033838892433525E-2</v>
      </c>
      <c r="F11" s="90">
        <f>'Financial Statements'!F125</f>
        <v>4.2999999999999997E-2</v>
      </c>
      <c r="G11" s="90">
        <f>'Financial Statements'!G125</f>
        <v>4.4999999999999998E-2</v>
      </c>
      <c r="H11" s="90">
        <f>'Financial Statements'!H125</f>
        <v>4.4999999999999998E-2</v>
      </c>
      <c r="I11" s="90">
        <f>'Financial Statements'!I125</f>
        <v>0.05</v>
      </c>
      <c r="J11" s="90">
        <f>'Financial Statements'!J125</f>
        <v>0.05</v>
      </c>
    </row>
    <row r="12" spans="1:10" ht="15.75" x14ac:dyDescent="0.25">
      <c r="B12" s="85" t="s">
        <v>83</v>
      </c>
      <c r="D12" s="87">
        <f>'Financial Statements'!D126</f>
        <v>-9300</v>
      </c>
      <c r="E12" s="87">
        <f>'Financial Statements'!E126</f>
        <v>-11300</v>
      </c>
      <c r="F12" s="30">
        <f ca="1">-(F29)</f>
        <v>-10744.565885833334</v>
      </c>
      <c r="G12" s="30">
        <f ca="1">-(G29)</f>
        <v>-11187.766270666667</v>
      </c>
      <c r="H12" s="30">
        <f ca="1">-(H29)</f>
        <v>-11792.710326949998</v>
      </c>
      <c r="I12" s="30">
        <f ca="1">-(I29)</f>
        <v>-12675.042145508334</v>
      </c>
      <c r="J12" s="30">
        <f ca="1">-(J29)</f>
        <v>-13848.631114455417</v>
      </c>
    </row>
    <row r="13" spans="1:10" ht="15.75" x14ac:dyDescent="0.25">
      <c r="B13" s="85" t="s">
        <v>84</v>
      </c>
      <c r="D13" s="24">
        <f>-(D12/D10)</f>
        <v>0.69856531210095396</v>
      </c>
      <c r="E13" s="24">
        <f>-(E12/E10)</f>
        <v>1.0767031919961887</v>
      </c>
      <c r="F13" s="24">
        <f ca="1">F12/F10</f>
        <v>-0.94855275961828023</v>
      </c>
      <c r="G13" s="24">
        <f t="shared" ref="G13:J13" ca="1" si="6">G12/G10</f>
        <v>-0.90748322501856493</v>
      </c>
      <c r="H13" s="24">
        <f t="shared" ca="1" si="6"/>
        <v>-0.91100246638485172</v>
      </c>
      <c r="I13" s="24">
        <f t="shared" ca="1" si="6"/>
        <v>-0.83928322807316258</v>
      </c>
      <c r="J13" s="24">
        <f t="shared" ca="1" si="6"/>
        <v>-0.87332658431498822</v>
      </c>
    </row>
    <row r="14" spans="1:10" ht="5.25" customHeight="1" x14ac:dyDescent="0.25">
      <c r="B14" s="26"/>
    </row>
    <row r="15" spans="1:10" ht="15.75" x14ac:dyDescent="0.25">
      <c r="B15" s="27" t="s">
        <v>158</v>
      </c>
    </row>
    <row r="16" spans="1:10" ht="15.75" x14ac:dyDescent="0.25">
      <c r="B16" s="85" t="s">
        <v>159</v>
      </c>
      <c r="D16" s="16">
        <v>90403</v>
      </c>
      <c r="E16" s="16">
        <v>95957</v>
      </c>
    </row>
    <row r="17" spans="2:10" ht="15.75" x14ac:dyDescent="0.25">
      <c r="B17" s="85" t="s">
        <v>160</v>
      </c>
      <c r="D17" s="16">
        <v>8108</v>
      </c>
      <c r="E17" s="30">
        <f>17085/2</f>
        <v>8542.5</v>
      </c>
    </row>
    <row r="18" spans="2:10" ht="15.75" x14ac:dyDescent="0.25">
      <c r="B18" s="85" t="s">
        <v>161</v>
      </c>
      <c r="D18" s="30">
        <f>D16-D7</f>
        <v>49099</v>
      </c>
      <c r="E18" s="30">
        <f>E16-E7</f>
        <v>58579</v>
      </c>
    </row>
    <row r="19" spans="2:10" ht="15.75" x14ac:dyDescent="0.25">
      <c r="B19" s="85" t="s">
        <v>162</v>
      </c>
      <c r="D19" s="30">
        <f>D16-D17-D18</f>
        <v>33196</v>
      </c>
      <c r="E19" s="30">
        <f>E16-E17-E18</f>
        <v>28835.5</v>
      </c>
    </row>
    <row r="20" spans="2:10" ht="5.25" customHeight="1" x14ac:dyDescent="0.25">
      <c r="B20" s="26"/>
    </row>
    <row r="21" spans="2:10" ht="15.75" x14ac:dyDescent="0.25">
      <c r="B21" s="26" t="s">
        <v>163</v>
      </c>
      <c r="D21" s="42">
        <v>5</v>
      </c>
      <c r="E21" s="42">
        <v>5</v>
      </c>
    </row>
    <row r="22" spans="2:10" ht="5.25" customHeight="1" x14ac:dyDescent="0.25">
      <c r="B22" s="26"/>
    </row>
    <row r="23" spans="2:10" ht="15.75" x14ac:dyDescent="0.25">
      <c r="B23" s="26" t="s">
        <v>164</v>
      </c>
      <c r="F23" s="30">
        <f>SYD($E$19,0,$E$21,F2-$E$2)</f>
        <v>9611.8333333333339</v>
      </c>
      <c r="G23" s="30">
        <f t="shared" ref="G23:J23" si="7">SYD($E$19,0,$E$21,G2-$E$2)</f>
        <v>7689.4666666666662</v>
      </c>
      <c r="H23" s="30">
        <f t="shared" si="7"/>
        <v>5767.1</v>
      </c>
      <c r="I23" s="30">
        <f t="shared" si="7"/>
        <v>3844.7333333333331</v>
      </c>
      <c r="J23" s="30">
        <f t="shared" si="7"/>
        <v>1922.3666666666666</v>
      </c>
    </row>
    <row r="24" spans="2:10" ht="15.75" x14ac:dyDescent="0.25">
      <c r="B24" s="26" t="str">
        <f>"Depreciation from capex purchased in "&amp;F2</f>
        <v>Depreciation from capex purchased in 2020</v>
      </c>
      <c r="D24" s="42">
        <v>0.5</v>
      </c>
      <c r="F24" s="30">
        <f ca="1">D24*$F$10/$E$21</f>
        <v>1132.7325524999999</v>
      </c>
      <c r="G24" s="30">
        <f ca="1">$F$10/$E$21</f>
        <v>2265.4651049999998</v>
      </c>
      <c r="H24" s="30">
        <f t="shared" ref="H24:J24" ca="1" si="8">$F$10/$E$21</f>
        <v>2265.4651049999998</v>
      </c>
      <c r="I24" s="30">
        <f t="shared" ca="1" si="8"/>
        <v>2265.4651049999998</v>
      </c>
      <c r="J24" s="30">
        <f t="shared" ca="1" si="8"/>
        <v>2265.4651049999998</v>
      </c>
    </row>
    <row r="25" spans="2:10" ht="15.75" x14ac:dyDescent="0.25">
      <c r="B25" s="26" t="str">
        <f>"Depreciation from capex purchased in "&amp;G2</f>
        <v>Depreciation from capex purchased in 2021</v>
      </c>
      <c r="F25" s="13"/>
      <c r="G25" s="30">
        <f ca="1">D24*$G$10/$E$21</f>
        <v>1232.8344990000001</v>
      </c>
      <c r="H25" s="30">
        <f ca="1">$G$10/$E$21</f>
        <v>2465.6689980000001</v>
      </c>
      <c r="I25" s="30">
        <f t="shared" ref="I25:J25" ca="1" si="9">$G$10/$E$21</f>
        <v>2465.6689980000001</v>
      </c>
      <c r="J25" s="30">
        <f t="shared" ca="1" si="9"/>
        <v>2465.6689980000001</v>
      </c>
    </row>
    <row r="26" spans="2:10" ht="15.75" x14ac:dyDescent="0.25">
      <c r="B26" s="26" t="str">
        <f>"Depreciation from capex purchased in "&amp;H2</f>
        <v>Depreciation from capex purchased in 2022</v>
      </c>
      <c r="F26" s="13"/>
      <c r="G26" s="13"/>
      <c r="H26" s="30">
        <f ca="1">D24*$H$10/$E$21</f>
        <v>1294.4762239500001</v>
      </c>
      <c r="I26" s="30">
        <f ca="1">$H$10/$E$21</f>
        <v>2588.9524479000002</v>
      </c>
      <c r="J26" s="30">
        <f ca="1">$H$10/$E$21</f>
        <v>2588.9524479000002</v>
      </c>
    </row>
    <row r="27" spans="2:10" ht="15.75" x14ac:dyDescent="0.25">
      <c r="B27" s="26" t="str">
        <f>"Depreciation from capex purchased in "&amp;I2</f>
        <v>Depreciation from capex purchased in 2023</v>
      </c>
      <c r="F27" s="13"/>
      <c r="G27" s="13"/>
      <c r="H27" s="13"/>
      <c r="I27" s="30">
        <f ca="1">D24*$I$10/$E$21</f>
        <v>1510.2222612750004</v>
      </c>
      <c r="J27" s="30">
        <f ca="1">$I$10/$E$21</f>
        <v>3020.4445225500008</v>
      </c>
    </row>
    <row r="28" spans="2:10" ht="15.75" x14ac:dyDescent="0.25">
      <c r="B28" s="26" t="str">
        <f>"Depreciation from capex purchased in "&amp;J2</f>
        <v>Depreciation from capex purchased in 2024</v>
      </c>
      <c r="F28" s="13"/>
      <c r="G28" s="13"/>
      <c r="H28" s="13"/>
      <c r="I28" s="13"/>
      <c r="J28" s="30">
        <f ca="1">D24*$J$10/$E$21</f>
        <v>1585.7333743387505</v>
      </c>
    </row>
    <row r="29" spans="2:10" ht="15.75" x14ac:dyDescent="0.25">
      <c r="B29" s="37" t="s">
        <v>165</v>
      </c>
      <c r="C29" s="17"/>
      <c r="D29" s="17"/>
      <c r="E29" s="17"/>
      <c r="F29" s="36">
        <f ca="1">SUM(F23:F28)</f>
        <v>10744.565885833334</v>
      </c>
      <c r="G29" s="36">
        <f t="shared" ref="G29:J29" ca="1" si="10">SUM(G23:G28)</f>
        <v>11187.766270666667</v>
      </c>
      <c r="H29" s="36">
        <f t="shared" ca="1" si="10"/>
        <v>11792.710326949998</v>
      </c>
      <c r="I29" s="36">
        <f t="shared" ca="1" si="10"/>
        <v>12675.042145508334</v>
      </c>
      <c r="J29" s="36">
        <f t="shared" ca="1" si="10"/>
        <v>13848.631114455417</v>
      </c>
    </row>
  </sheetData>
  <sheetProtection algorithmName="SHA-512" hashValue="dDTggR4ms/G1Hjfve0A2inH2eyekoTana4IApiLPfloXJE37dH/z7fUg1/kYvbrLSfYm7GUMEYd1DMwtDIzf5g==" saltValue="BhgSkD78297erQF1BGJIBQ==" spinCount="100000" sheet="1" objects="1" scenarios="1"/>
  <mergeCells count="2">
    <mergeCell ref="C1:E1"/>
    <mergeCell ref="F1:J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4216F-6F38-47FA-B3FF-10B6216B147A}">
  <dimension ref="A1:J145"/>
  <sheetViews>
    <sheetView tabSelected="1" zoomScale="140" zoomScaleNormal="140" workbookViewId="0">
      <selection activeCell="J8" sqref="J8"/>
    </sheetView>
  </sheetViews>
  <sheetFormatPr defaultRowHeight="15" outlineLevelRow="1" x14ac:dyDescent="0.25"/>
  <cols>
    <col min="1" max="1" width="1.42578125" style="2" customWidth="1"/>
    <col min="2" max="2" width="47.85546875" style="2" bestFit="1" customWidth="1"/>
    <col min="3" max="10" width="13.7109375" style="2" customWidth="1"/>
    <col min="11" max="16384" width="9.140625" style="2"/>
  </cols>
  <sheetData>
    <row r="1" spans="1:10" x14ac:dyDescent="0.25">
      <c r="A1" s="1"/>
      <c r="B1" s="4" t="s">
        <v>167</v>
      </c>
      <c r="C1" s="135" t="s">
        <v>10</v>
      </c>
      <c r="D1" s="135"/>
      <c r="E1" s="135"/>
      <c r="F1" s="134" t="s">
        <v>11</v>
      </c>
      <c r="G1" s="134"/>
      <c r="H1" s="134"/>
      <c r="I1" s="134"/>
      <c r="J1" s="134"/>
    </row>
    <row r="2" spans="1:10" ht="28.5" x14ac:dyDescent="0.45">
      <c r="A2" s="1"/>
      <c r="B2" s="14" t="s">
        <v>169</v>
      </c>
      <c r="C2" s="93">
        <v>2017</v>
      </c>
      <c r="D2" s="93">
        <v>2018</v>
      </c>
      <c r="E2" s="93">
        <v>2019</v>
      </c>
      <c r="F2" s="92">
        <v>2020</v>
      </c>
      <c r="G2" s="92">
        <v>2021</v>
      </c>
      <c r="H2" s="92">
        <v>2022</v>
      </c>
      <c r="I2" s="92">
        <v>2023</v>
      </c>
      <c r="J2" s="92">
        <v>2024</v>
      </c>
    </row>
    <row r="3" spans="1:10" ht="5.25" customHeight="1" x14ac:dyDescent="0.25"/>
    <row r="4" spans="1:10" x14ac:dyDescent="0.25">
      <c r="B4" s="3" t="s">
        <v>170</v>
      </c>
    </row>
    <row r="5" spans="1:10" x14ac:dyDescent="0.25">
      <c r="B5" s="2" t="s">
        <v>4</v>
      </c>
      <c r="C5" s="105">
        <f>'Financial Statements'!C6</f>
        <v>273.36</v>
      </c>
    </row>
    <row r="6" spans="1:10" x14ac:dyDescent="0.25">
      <c r="B6" s="2" t="s">
        <v>5</v>
      </c>
      <c r="C6" s="106">
        <f>'Financial Statements'!C7</f>
        <v>43889</v>
      </c>
    </row>
    <row r="7" spans="1:10" x14ac:dyDescent="0.25">
      <c r="B7" s="2" t="s">
        <v>171</v>
      </c>
      <c r="C7" s="16">
        <v>4375.4799999999996</v>
      </c>
    </row>
    <row r="8" spans="1:10" x14ac:dyDescent="0.25">
      <c r="B8" s="2" t="s">
        <v>172</v>
      </c>
      <c r="C8" s="24">
        <f>D93</f>
        <v>6.9938506882052123E-2</v>
      </c>
    </row>
    <row r="9" spans="1:10" ht="5.25" customHeight="1" x14ac:dyDescent="0.25">
      <c r="C9" s="133">
        <f>EOMONTH(D9,-12)</f>
        <v>43008</v>
      </c>
      <c r="D9" s="133">
        <f>EOMONTH(E9,-12)</f>
        <v>43373</v>
      </c>
      <c r="E9" s="133">
        <v>43736</v>
      </c>
      <c r="F9" s="133">
        <f>EOMONTH(E9,12)</f>
        <v>44104</v>
      </c>
      <c r="G9" s="133">
        <f>EOMONTH(F9,12)</f>
        <v>44469</v>
      </c>
      <c r="H9" s="133">
        <f>EOMONTH(G9,12)</f>
        <v>44834</v>
      </c>
      <c r="I9" s="133">
        <f>EOMONTH(H9,12)</f>
        <v>45199</v>
      </c>
      <c r="J9" s="133">
        <f>EOMONTH(I9,12)</f>
        <v>45565</v>
      </c>
    </row>
    <row r="10" spans="1:10" ht="28.5" x14ac:dyDescent="0.45">
      <c r="A10" s="44" t="s">
        <v>137</v>
      </c>
      <c r="B10" s="14" t="s">
        <v>176</v>
      </c>
      <c r="C10" s="1"/>
      <c r="D10" s="1"/>
      <c r="E10" s="1"/>
      <c r="F10" s="1"/>
      <c r="G10" s="1"/>
      <c r="H10" s="1"/>
      <c r="I10" s="1"/>
      <c r="J10" s="1"/>
    </row>
    <row r="11" spans="1:10" ht="5.25" customHeight="1" x14ac:dyDescent="0.25"/>
    <row r="12" spans="1:10" x14ac:dyDescent="0.25">
      <c r="B12" s="2" t="s">
        <v>37</v>
      </c>
      <c r="C12" s="87">
        <f>'Financial Statements'!C47</f>
        <v>76410</v>
      </c>
      <c r="D12" s="87">
        <f>'Financial Statements'!D47</f>
        <v>87244</v>
      </c>
      <c r="E12" s="87">
        <f>'Financial Statements'!E47</f>
        <v>82671</v>
      </c>
      <c r="F12" s="87">
        <f ca="1">'Financial Statements'!F47</f>
        <v>88149.713147833332</v>
      </c>
      <c r="G12" s="87">
        <f ca="1">'Financial Statements'!G47</f>
        <v>91689.11942314668</v>
      </c>
      <c r="H12" s="87">
        <f ca="1">'Financial Statements'!H47</f>
        <v>102331.25404384399</v>
      </c>
      <c r="I12" s="87">
        <f ca="1">'Financial Statements'!I47</f>
        <v>94585.722041411151</v>
      </c>
      <c r="J12" s="87">
        <f ca="1">'Financial Statements'!J47</f>
        <v>97535.709945182971</v>
      </c>
    </row>
    <row r="13" spans="1:10" x14ac:dyDescent="0.25">
      <c r="B13" s="2" t="s">
        <v>173</v>
      </c>
      <c r="C13" s="87">
        <f>'Financial Statements'!C20</f>
        <v>61344</v>
      </c>
      <c r="D13" s="87">
        <f>'Financial Statements'!D20</f>
        <v>70898</v>
      </c>
      <c r="E13" s="87">
        <f>'Financial Statements'!E20</f>
        <v>63930</v>
      </c>
      <c r="F13" s="87">
        <f ca="1">'Financial Statements'!F20</f>
        <v>71651.919599999994</v>
      </c>
      <c r="G13" s="87">
        <f ca="1">'Financial Statements'!G20</f>
        <v>74517.996383999998</v>
      </c>
      <c r="H13" s="87">
        <f ca="1">'Financial Statements'!H20</f>
        <v>84860.108014500001</v>
      </c>
      <c r="I13" s="87">
        <f ca="1">'Financial Statements'!I20</f>
        <v>76266.224194387512</v>
      </c>
      <c r="J13" s="87">
        <f ca="1">'Financial Statements'!J20</f>
        <v>77700.935342598765</v>
      </c>
    </row>
    <row r="14" spans="1:10" s="94" customFormat="1" x14ac:dyDescent="0.25">
      <c r="B14" s="94" t="s">
        <v>33</v>
      </c>
      <c r="C14" s="107">
        <f>'Financial Statements'!C42</f>
        <v>0.23501127420968537</v>
      </c>
      <c r="D14" s="107">
        <f>'Financial Statements'!D42</f>
        <v>0.17746751781709114</v>
      </c>
      <c r="E14" s="107">
        <f>'Financial Statements'!E42</f>
        <v>0.15614850570602784</v>
      </c>
      <c r="F14" s="107">
        <f>'Financial Statements'!F42</f>
        <v>0.2</v>
      </c>
      <c r="G14" s="107">
        <f>'Financial Statements'!G42</f>
        <v>0.22</v>
      </c>
      <c r="H14" s="107">
        <f>'Financial Statements'!H42</f>
        <v>0.26</v>
      </c>
      <c r="I14" s="107">
        <f>'Financial Statements'!I42</f>
        <v>0.26</v>
      </c>
      <c r="J14" s="107">
        <f>'Financial Statements'!J42</f>
        <v>0.26</v>
      </c>
    </row>
    <row r="15" spans="1:10" x14ac:dyDescent="0.25">
      <c r="B15" s="17" t="s">
        <v>174</v>
      </c>
      <c r="C15" s="36">
        <f>C13*(1-C14)</f>
        <v>46927.468394881063</v>
      </c>
      <c r="D15" s="36">
        <f t="shared" ref="D15:J15" si="0">D13*(1-D14)</f>
        <v>58315.907921803875</v>
      </c>
      <c r="E15" s="36">
        <f t="shared" si="0"/>
        <v>53947.426030213639</v>
      </c>
      <c r="F15" s="36">
        <f t="shared" ca="1" si="0"/>
        <v>57321.535680000001</v>
      </c>
      <c r="G15" s="36">
        <f t="shared" ca="1" si="0"/>
        <v>58124.037179519997</v>
      </c>
      <c r="H15" s="36">
        <f t="shared" ca="1" si="0"/>
        <v>62796.479930729998</v>
      </c>
      <c r="I15" s="36">
        <f t="shared" ca="1" si="0"/>
        <v>56437.005903846759</v>
      </c>
      <c r="J15" s="36">
        <f t="shared" ca="1" si="0"/>
        <v>57498.692153523087</v>
      </c>
    </row>
    <row r="16" spans="1:10" ht="5.25" customHeight="1" x14ac:dyDescent="0.25"/>
    <row r="17" spans="2:10" ht="15.75" x14ac:dyDescent="0.25">
      <c r="B17" s="26" t="s">
        <v>35</v>
      </c>
      <c r="F17" s="87">
        <f ca="1">'Financial Statements'!F199</f>
        <v>10744.565885833334</v>
      </c>
      <c r="G17" s="87">
        <f ca="1">'Financial Statements'!G199</f>
        <v>11187.766270666667</v>
      </c>
      <c r="H17" s="87">
        <f ca="1">'Financial Statements'!H199</f>
        <v>11792.710326949998</v>
      </c>
      <c r="I17" s="87">
        <f ca="1">'Financial Statements'!I199</f>
        <v>12675.042145508334</v>
      </c>
      <c r="J17" s="87">
        <f ca="1">'Financial Statements'!J199</f>
        <v>13848.631114455417</v>
      </c>
    </row>
    <row r="18" spans="2:10" ht="15.75" x14ac:dyDescent="0.25">
      <c r="B18" s="26" t="s">
        <v>36</v>
      </c>
      <c r="F18" s="87">
        <f ca="1">'Financial Statements'!F200</f>
        <v>5753.2276619999993</v>
      </c>
      <c r="G18" s="87">
        <f ca="1">'Financial Statements'!G200</f>
        <v>5983.35676848</v>
      </c>
      <c r="H18" s="87">
        <f ca="1">'Financial Statements'!H200</f>
        <v>5678.4357023940011</v>
      </c>
      <c r="I18" s="87">
        <f ca="1">'Financial Statements'!I200</f>
        <v>5644.455701515315</v>
      </c>
      <c r="J18" s="87">
        <f ca="1">'Financial Statements'!J200</f>
        <v>5986.1434881287832</v>
      </c>
    </row>
    <row r="19" spans="2:10" ht="15.75" x14ac:dyDescent="0.25">
      <c r="B19" s="26" t="s">
        <v>41</v>
      </c>
      <c r="F19" s="87">
        <f ca="1">'Financial Statements'!F201</f>
        <v>-255.50339999999778</v>
      </c>
      <c r="G19" s="87">
        <f ca="1">'Financial Statements'!G201</f>
        <v>-653.29691400000229</v>
      </c>
      <c r="H19" s="87">
        <f ca="1">'Financial Statements'!H201</f>
        <v>-1191.7400157000011</v>
      </c>
      <c r="I19" s="87">
        <f ca="1">'Financial Statements'!I201</f>
        <v>-647.23811197500618</v>
      </c>
      <c r="J19" s="87">
        <f ca="1">'Financial Statements'!J201</f>
        <v>-1283.6889220837511</v>
      </c>
    </row>
    <row r="20" spans="2:10" ht="15.75" x14ac:dyDescent="0.25">
      <c r="B20" s="26" t="s">
        <v>42</v>
      </c>
      <c r="F20" s="87">
        <f ca="1">'Financial Statements'!F202</f>
        <v>154.60737500000005</v>
      </c>
      <c r="G20" s="87">
        <f ca="1">'Financial Statements'!G202</f>
        <v>-158.05570500000022</v>
      </c>
      <c r="H20" s="87">
        <f ca="1">'Financial Statements'!H202</f>
        <v>-25.684052062500996</v>
      </c>
      <c r="I20" s="87">
        <f ca="1">'Financial Statements'!I202</f>
        <v>-172.02150709380021</v>
      </c>
      <c r="J20" s="87">
        <f ca="1">'Financial Statements'!J202</f>
        <v>-288.30142967739721</v>
      </c>
    </row>
    <row r="21" spans="2:10" ht="15.75" x14ac:dyDescent="0.25">
      <c r="B21" s="26" t="s">
        <v>44</v>
      </c>
      <c r="F21" s="87">
        <f ca="1">'Financial Statements'!F203</f>
        <v>-1453.5502500000002</v>
      </c>
      <c r="G21" s="87">
        <f ca="1">'Financial Statements'!G203</f>
        <v>3161.1140999999989</v>
      </c>
      <c r="H21" s="87">
        <f ca="1">'Financial Statements'!H203</f>
        <v>6712.0989390000104</v>
      </c>
      <c r="I21" s="87">
        <f ca="1">'Financial Statements'!I203</f>
        <v>5753.2276620000048</v>
      </c>
      <c r="J21" s="87">
        <f ca="1">'Financial Statements'!J203</f>
        <v>-3322.4889748049973</v>
      </c>
    </row>
    <row r="22" spans="2:10" ht="15.75" x14ac:dyDescent="0.25">
      <c r="B22" s="26" t="s">
        <v>115</v>
      </c>
      <c r="F22" s="87">
        <f ca="1">'Financial Statements'!F204</f>
        <v>1669.3087500000001</v>
      </c>
      <c r="G22" s="87">
        <f ca="1">'Financial Statements'!G204</f>
        <v>526.85235000000102</v>
      </c>
      <c r="H22" s="87">
        <f ca="1">'Financial Statements'!H204</f>
        <v>3561.5218859999986</v>
      </c>
      <c r="I22" s="87">
        <f ca="1">'Financial Statements'!I204</f>
        <v>1467.0730538100033</v>
      </c>
      <c r="J22" s="87">
        <f ca="1">'Financial Statements'!J204</f>
        <v>936.33780199050307</v>
      </c>
    </row>
    <row r="23" spans="2:10" ht="15.75" x14ac:dyDescent="0.25">
      <c r="B23" s="26" t="s">
        <v>90</v>
      </c>
      <c r="F23" s="87">
        <f>'Financial Statements'!F205</f>
        <v>0</v>
      </c>
      <c r="G23" s="87">
        <f>'Financial Statements'!G205</f>
        <v>0</v>
      </c>
      <c r="H23" s="87">
        <f>'Financial Statements'!H205</f>
        <v>0</v>
      </c>
      <c r="I23" s="87">
        <f>'Financial Statements'!I205</f>
        <v>0</v>
      </c>
      <c r="J23" s="87">
        <f>'Financial Statements'!J205</f>
        <v>0</v>
      </c>
    </row>
    <row r="24" spans="2:10" ht="15.75" x14ac:dyDescent="0.25">
      <c r="B24" s="26" t="s">
        <v>62</v>
      </c>
      <c r="F24" s="87">
        <f>'Financial Statements'!F206</f>
        <v>0</v>
      </c>
      <c r="G24" s="87">
        <f>'Financial Statements'!G206</f>
        <v>0</v>
      </c>
      <c r="H24" s="87">
        <f>'Financial Statements'!H206</f>
        <v>0</v>
      </c>
      <c r="I24" s="87">
        <f>'Financial Statements'!I206</f>
        <v>0</v>
      </c>
      <c r="J24" s="87">
        <f>'Financial Statements'!J206</f>
        <v>0</v>
      </c>
    </row>
    <row r="25" spans="2:10" ht="15.75" x14ac:dyDescent="0.25">
      <c r="B25" s="26" t="s">
        <v>63</v>
      </c>
      <c r="F25" s="87">
        <f>'Financial Statements'!F207</f>
        <v>5000</v>
      </c>
      <c r="G25" s="87">
        <f>'Financial Statements'!G207</f>
        <v>5000</v>
      </c>
      <c r="H25" s="87">
        <f>'Financial Statements'!H207</f>
        <v>5000</v>
      </c>
      <c r="I25" s="87">
        <f>'Financial Statements'!I207</f>
        <v>5000</v>
      </c>
      <c r="J25" s="87">
        <f>'Financial Statements'!J207</f>
        <v>5000</v>
      </c>
    </row>
    <row r="26" spans="2:10" x14ac:dyDescent="0.25">
      <c r="B26" s="17" t="s">
        <v>175</v>
      </c>
      <c r="C26" s="17"/>
      <c r="D26" s="17"/>
      <c r="E26" s="17"/>
      <c r="F26" s="36">
        <f ca="1">F15+SUM(F17:F25)</f>
        <v>78934.191702833341</v>
      </c>
      <c r="G26" s="36">
        <f t="shared" ref="G26:J26" ca="1" si="1">G15+SUM(G17:G25)</f>
        <v>83171.774049666652</v>
      </c>
      <c r="H26" s="36">
        <f t="shared" ca="1" si="1"/>
        <v>94323.822717311501</v>
      </c>
      <c r="I26" s="36">
        <f t="shared" ca="1" si="1"/>
        <v>86157.544847611614</v>
      </c>
      <c r="J26" s="36">
        <f t="shared" ca="1" si="1"/>
        <v>78375.325231531635</v>
      </c>
    </row>
    <row r="27" spans="2:10" ht="5.25" customHeight="1" x14ac:dyDescent="0.25"/>
    <row r="28" spans="2:10" x14ac:dyDescent="0.25">
      <c r="B28" s="2" t="s">
        <v>177</v>
      </c>
      <c r="F28" s="87">
        <f ca="1">'Financial Statements'!F211</f>
        <v>-11327.325524999998</v>
      </c>
      <c r="G28" s="87">
        <f ca="1">'Financial Statements'!G211</f>
        <v>-12328.34499</v>
      </c>
      <c r="H28" s="87">
        <f ca="1">'Financial Statements'!H211</f>
        <v>-12944.762239500002</v>
      </c>
      <c r="I28" s="87">
        <f ca="1">'Financial Statements'!I211</f>
        <v>-15102.222612750003</v>
      </c>
      <c r="J28" s="87">
        <f ca="1">'Financial Statements'!J211</f>
        <v>-15857.333743387506</v>
      </c>
    </row>
    <row r="29" spans="2:10" x14ac:dyDescent="0.25">
      <c r="B29" s="17" t="s">
        <v>178</v>
      </c>
      <c r="C29" s="17"/>
      <c r="D29" s="17"/>
      <c r="E29" s="17"/>
      <c r="F29" s="36">
        <f ca="1">F26+F28</f>
        <v>67606.866177833348</v>
      </c>
      <c r="G29" s="36">
        <f t="shared" ref="G29:J29" ca="1" si="2">G26+G28</f>
        <v>70843.429059666654</v>
      </c>
      <c r="H29" s="36">
        <f t="shared" ca="1" si="2"/>
        <v>81379.060477811494</v>
      </c>
      <c r="I29" s="36">
        <f t="shared" ca="1" si="2"/>
        <v>71055.322234861611</v>
      </c>
      <c r="J29" s="36">
        <f t="shared" ca="1" si="2"/>
        <v>62517.991488144129</v>
      </c>
    </row>
    <row r="30" spans="2:10" ht="5.25" customHeight="1" x14ac:dyDescent="0.25"/>
    <row r="31" spans="2:10" x14ac:dyDescent="0.25">
      <c r="B31" s="94" t="s">
        <v>179</v>
      </c>
      <c r="C31" s="94"/>
      <c r="D31" s="94"/>
      <c r="E31" s="94"/>
      <c r="F31" s="94"/>
      <c r="G31" s="108">
        <f ca="1">G29/F29-1</f>
        <v>4.7873286617365673E-2</v>
      </c>
      <c r="H31" s="108">
        <f t="shared" ref="H31:J31" ca="1" si="3">H29/G29-1</f>
        <v>0.14871712956287575</v>
      </c>
      <c r="I31" s="108">
        <f t="shared" ca="1" si="3"/>
        <v>-0.12685988486884425</v>
      </c>
      <c r="J31" s="108">
        <f t="shared" ca="1" si="3"/>
        <v>-0.12015047540701806</v>
      </c>
    </row>
    <row r="32" spans="2:10" ht="5.25" customHeight="1" x14ac:dyDescent="0.25"/>
    <row r="33" spans="1:10" x14ac:dyDescent="0.25">
      <c r="B33" s="94" t="s">
        <v>180</v>
      </c>
      <c r="F33" s="108">
        <f>YEARFRAC($C$6,F9)</f>
        <v>0.58888888888888891</v>
      </c>
      <c r="G33" s="108">
        <f>YEARFRAC($C$6,G9)</f>
        <v>1.5888888888888888</v>
      </c>
      <c r="H33" s="108">
        <f>YEARFRAC($C$6,H9)</f>
        <v>2.588888888888889</v>
      </c>
      <c r="I33" s="108">
        <f>YEARFRAC($C$6,I9)</f>
        <v>3.588888888888889</v>
      </c>
      <c r="J33" s="108">
        <f>YEARFRAC($C$6,J9)</f>
        <v>4.5888888888888886</v>
      </c>
    </row>
    <row r="34" spans="1:10" x14ac:dyDescent="0.25">
      <c r="B34" s="17" t="s">
        <v>181</v>
      </c>
      <c r="C34" s="17"/>
      <c r="D34" s="17"/>
      <c r="E34" s="17"/>
      <c r="F34" s="36">
        <f ca="1">F29/(1+$C$8)^F33</f>
        <v>64968.333013979034</v>
      </c>
      <c r="G34" s="36">
        <f t="shared" ref="G34:J34" ca="1" si="4">G29/(1+$C$8)^G33</f>
        <v>63628.498463710828</v>
      </c>
      <c r="H34" s="36">
        <f t="shared" ca="1" si="4"/>
        <v>68313.408334678403</v>
      </c>
      <c r="I34" s="36">
        <f t="shared" ca="1" si="4"/>
        <v>55748.229299796694</v>
      </c>
      <c r="J34" s="36">
        <f t="shared" ca="1" si="4"/>
        <v>45843.805724186212</v>
      </c>
    </row>
    <row r="35" spans="1:10" ht="5.25" customHeight="1" x14ac:dyDescent="0.25"/>
    <row r="36" spans="1:10" ht="28.5" x14ac:dyDescent="0.45">
      <c r="A36" s="44" t="s">
        <v>137</v>
      </c>
      <c r="B36" s="14" t="s">
        <v>182</v>
      </c>
      <c r="C36" s="1"/>
      <c r="D36" s="1"/>
      <c r="E36" s="1"/>
      <c r="F36" s="1"/>
      <c r="G36" s="1"/>
      <c r="H36" s="1"/>
      <c r="I36" s="1"/>
      <c r="J36" s="1"/>
    </row>
    <row r="37" spans="1:10" ht="5.25" customHeight="1" x14ac:dyDescent="0.25"/>
    <row r="38" spans="1:10" x14ac:dyDescent="0.25">
      <c r="B38" s="3" t="s">
        <v>183</v>
      </c>
      <c r="E38" s="3" t="s">
        <v>191</v>
      </c>
    </row>
    <row r="39" spans="1:10" x14ac:dyDescent="0.25">
      <c r="B39" s="2" t="s">
        <v>184</v>
      </c>
      <c r="C39" s="30">
        <f ca="1">J29</f>
        <v>62517.991488144129</v>
      </c>
      <c r="E39" s="2" t="s">
        <v>192</v>
      </c>
      <c r="H39" s="30">
        <f ca="1">J12</f>
        <v>97535.709945182971</v>
      </c>
    </row>
    <row r="40" spans="1:10" x14ac:dyDescent="0.25">
      <c r="B40" s="2" t="s">
        <v>185</v>
      </c>
      <c r="C40" s="30">
        <f ca="1">C39*(1+C41)</f>
        <v>64393.531232788453</v>
      </c>
      <c r="E40" s="2" t="s">
        <v>193</v>
      </c>
      <c r="H40" s="109">
        <v>12</v>
      </c>
    </row>
    <row r="41" spans="1:10" x14ac:dyDescent="0.25">
      <c r="B41" s="2" t="s">
        <v>186</v>
      </c>
      <c r="C41" s="25">
        <v>0.03</v>
      </c>
      <c r="E41" s="2" t="s">
        <v>187</v>
      </c>
      <c r="H41" s="30">
        <f ca="1">H39*H40</f>
        <v>1170428.5193421957</v>
      </c>
    </row>
    <row r="42" spans="1:10" x14ac:dyDescent="0.25">
      <c r="B42" s="2" t="s">
        <v>187</v>
      </c>
      <c r="C42" s="30">
        <f ca="1">C40/(C8-C41)</f>
        <v>1612316.9407148296</v>
      </c>
      <c r="E42" s="2" t="s">
        <v>194</v>
      </c>
      <c r="H42" s="30">
        <f ca="1">H41/(1+C8)^J33</f>
        <v>858263.29953267938</v>
      </c>
    </row>
    <row r="43" spans="1:10" x14ac:dyDescent="0.25">
      <c r="B43" s="2" t="s">
        <v>194</v>
      </c>
      <c r="C43" s="30">
        <f ca="1">C42/(1+C8)^J33</f>
        <v>1182295.5734264441</v>
      </c>
      <c r="E43" s="2" t="s">
        <v>188</v>
      </c>
      <c r="H43" s="30">
        <f ca="1">SUM(F34:J34)</f>
        <v>298502.27483635116</v>
      </c>
    </row>
    <row r="44" spans="1:10" x14ac:dyDescent="0.25">
      <c r="B44" s="2" t="s">
        <v>188</v>
      </c>
      <c r="C44" s="30">
        <f ca="1">SUM(F34:J34)</f>
        <v>298502.27483635116</v>
      </c>
      <c r="E44" s="17" t="s">
        <v>189</v>
      </c>
      <c r="F44" s="39"/>
      <c r="G44" s="39"/>
      <c r="H44" s="36">
        <f ca="1">SUM(H42:H43)</f>
        <v>1156765.5743690305</v>
      </c>
    </row>
    <row r="45" spans="1:10" x14ac:dyDescent="0.25">
      <c r="B45" s="17" t="s">
        <v>189</v>
      </c>
      <c r="C45" s="36">
        <f ca="1">SUM(C43:C44)</f>
        <v>1480797.8482627952</v>
      </c>
      <c r="E45" s="94" t="s">
        <v>195</v>
      </c>
      <c r="H45" s="113">
        <f ca="1">(C8-J29/H41)/(1+J29/H41)</f>
        <v>1.5686026439050763E-2</v>
      </c>
    </row>
    <row r="46" spans="1:10" x14ac:dyDescent="0.25">
      <c r="B46" s="94" t="s">
        <v>190</v>
      </c>
      <c r="C46" s="112">
        <f ca="1">C42/J12</f>
        <v>16.53052960419301</v>
      </c>
    </row>
    <row r="47" spans="1:10" ht="5.25" customHeight="1" x14ac:dyDescent="0.25"/>
    <row r="48" spans="1:10" ht="23.25" x14ac:dyDescent="0.35">
      <c r="A48" s="22"/>
      <c r="B48" s="23" t="s">
        <v>200</v>
      </c>
      <c r="C48" s="22"/>
      <c r="D48" s="22"/>
      <c r="E48" s="22"/>
      <c r="F48" s="22"/>
      <c r="G48" s="22"/>
      <c r="H48" s="22"/>
      <c r="I48" s="22"/>
      <c r="J48" s="22"/>
    </row>
    <row r="49" spans="2:3" ht="5.25" customHeight="1" outlineLevel="1" x14ac:dyDescent="0.25"/>
    <row r="50" spans="2:3" outlineLevel="1" x14ac:dyDescent="0.25">
      <c r="B50" s="2" t="s">
        <v>197</v>
      </c>
      <c r="C50" s="16">
        <v>207061</v>
      </c>
    </row>
    <row r="51" spans="2:3" outlineLevel="1" x14ac:dyDescent="0.25">
      <c r="B51" s="2" t="s">
        <v>198</v>
      </c>
      <c r="C51" s="16">
        <v>103302</v>
      </c>
    </row>
    <row r="52" spans="2:3" outlineLevel="1" x14ac:dyDescent="0.25">
      <c r="B52" s="2" t="s">
        <v>199</v>
      </c>
      <c r="C52" s="16">
        <v>14300</v>
      </c>
    </row>
    <row r="53" spans="2:3" outlineLevel="1" x14ac:dyDescent="0.25">
      <c r="B53" s="17" t="s">
        <v>196</v>
      </c>
      <c r="C53" s="36">
        <f>C51-C50</f>
        <v>-103759</v>
      </c>
    </row>
    <row r="54" spans="2:3" ht="5.25" customHeight="1" outlineLevel="1" x14ac:dyDescent="0.25"/>
    <row r="55" spans="2:3" outlineLevel="1" x14ac:dyDescent="0.25">
      <c r="B55" s="2" t="s">
        <v>23</v>
      </c>
      <c r="C55" s="30">
        <f>C7</f>
        <v>4375.4799999999996</v>
      </c>
    </row>
    <row r="56" spans="2:3" outlineLevel="1" x14ac:dyDescent="0.25">
      <c r="B56" s="2" t="s">
        <v>201</v>
      </c>
      <c r="C56" s="16">
        <v>0</v>
      </c>
    </row>
    <row r="57" spans="2:3" outlineLevel="1" x14ac:dyDescent="0.25">
      <c r="B57" s="2" t="s">
        <v>202</v>
      </c>
      <c r="C57" s="79">
        <v>0</v>
      </c>
    </row>
    <row r="58" spans="2:3" outlineLevel="1" x14ac:dyDescent="0.25">
      <c r="B58" s="2" t="s">
        <v>203</v>
      </c>
      <c r="C58" s="30">
        <f>IF(C57&lt;C5,C56,0)</f>
        <v>0</v>
      </c>
    </row>
    <row r="59" spans="2:3" outlineLevel="1" x14ac:dyDescent="0.25">
      <c r="B59" s="2" t="s">
        <v>204</v>
      </c>
      <c r="C59" s="30">
        <f>C58*C57</f>
        <v>0</v>
      </c>
    </row>
    <row r="60" spans="2:3" outlineLevel="1" x14ac:dyDescent="0.25">
      <c r="B60" s="2" t="s">
        <v>205</v>
      </c>
      <c r="C60" s="110">
        <f>C59/C5</f>
        <v>0</v>
      </c>
    </row>
    <row r="61" spans="2:3" outlineLevel="1" x14ac:dyDescent="0.25">
      <c r="B61" s="2" t="s">
        <v>206</v>
      </c>
      <c r="C61" s="30">
        <f>C58-C60</f>
        <v>0</v>
      </c>
    </row>
    <row r="62" spans="2:3" outlineLevel="1" x14ac:dyDescent="0.25">
      <c r="B62" s="2" t="s">
        <v>207</v>
      </c>
      <c r="C62" s="16">
        <v>0</v>
      </c>
    </row>
    <row r="63" spans="2:3" outlineLevel="1" x14ac:dyDescent="0.25">
      <c r="B63" s="17" t="s">
        <v>208</v>
      </c>
      <c r="C63" s="18">
        <f>C62+C61+C55</f>
        <v>4375.4799999999996</v>
      </c>
    </row>
    <row r="64" spans="2:3" ht="5.25" customHeight="1" x14ac:dyDescent="0.25"/>
    <row r="65" spans="1:10" ht="28.5" x14ac:dyDescent="0.45">
      <c r="A65" s="44" t="s">
        <v>137</v>
      </c>
      <c r="B65" s="14" t="s">
        <v>209</v>
      </c>
      <c r="C65" s="1"/>
      <c r="D65" s="1"/>
      <c r="E65" s="1"/>
      <c r="F65" s="1"/>
      <c r="G65" s="1"/>
      <c r="H65" s="1"/>
      <c r="I65" s="1"/>
      <c r="J65" s="1"/>
    </row>
    <row r="66" spans="1:10" ht="5.25" customHeight="1" x14ac:dyDescent="0.25"/>
    <row r="67" spans="1:10" x14ac:dyDescent="0.25">
      <c r="C67" s="95" t="s">
        <v>217</v>
      </c>
      <c r="D67" s="95" t="s">
        <v>37</v>
      </c>
    </row>
    <row r="68" spans="1:10" x14ac:dyDescent="0.25">
      <c r="B68" s="2" t="s">
        <v>210</v>
      </c>
      <c r="C68" s="98">
        <f ca="1">C45</f>
        <v>1480797.8482627952</v>
      </c>
      <c r="D68" s="99">
        <f ca="1">H44</f>
        <v>1156765.5743690305</v>
      </c>
    </row>
    <row r="69" spans="1:10" x14ac:dyDescent="0.25">
      <c r="B69" s="2" t="s">
        <v>211</v>
      </c>
      <c r="C69" s="98">
        <f>-(C53)</f>
        <v>103759</v>
      </c>
      <c r="D69" s="98">
        <f>-(C53)</f>
        <v>103759</v>
      </c>
    </row>
    <row r="70" spans="1:10" x14ac:dyDescent="0.25">
      <c r="B70" s="2" t="s">
        <v>212</v>
      </c>
      <c r="C70" s="98">
        <f>-(C52)</f>
        <v>-14300</v>
      </c>
      <c r="D70" s="100">
        <f>-(C52)</f>
        <v>-14300</v>
      </c>
    </row>
    <row r="71" spans="1:10" x14ac:dyDescent="0.25">
      <c r="B71" s="17" t="s">
        <v>213</v>
      </c>
      <c r="C71" s="96">
        <f ca="1">C68+C69+C70</f>
        <v>1570256.8482627952</v>
      </c>
      <c r="D71" s="96">
        <f ca="1">D68+D69+D70</f>
        <v>1246224.5743690305</v>
      </c>
    </row>
    <row r="72" spans="1:10" ht="5.25" customHeight="1" x14ac:dyDescent="0.25">
      <c r="C72" s="101"/>
      <c r="D72" s="102"/>
    </row>
    <row r="73" spans="1:10" x14ac:dyDescent="0.25">
      <c r="B73" s="2" t="s">
        <v>214</v>
      </c>
      <c r="C73" s="98">
        <f>C63</f>
        <v>4375.4799999999996</v>
      </c>
      <c r="D73" s="100">
        <f>C63</f>
        <v>4375.4799999999996</v>
      </c>
    </row>
    <row r="74" spans="1:10" x14ac:dyDescent="0.25">
      <c r="B74" s="17" t="s">
        <v>215</v>
      </c>
      <c r="C74" s="97">
        <f ca="1">C71/C73</f>
        <v>358.87647715514538</v>
      </c>
      <c r="D74" s="97">
        <f ca="1">D71/D73</f>
        <v>284.82008245244651</v>
      </c>
    </row>
    <row r="75" spans="1:10" x14ac:dyDescent="0.25">
      <c r="B75" s="94" t="s">
        <v>216</v>
      </c>
      <c r="C75" s="103">
        <f ca="1">$C$5/C74-1</f>
        <v>-0.23828944664482943</v>
      </c>
      <c r="D75" s="104">
        <f ca="1">$C$5/D74-1</f>
        <v>-4.0236216329162411E-2</v>
      </c>
    </row>
    <row r="76" spans="1:10" ht="5.25" customHeight="1" x14ac:dyDescent="0.25"/>
    <row r="77" spans="1:10" ht="28.5" x14ac:dyDescent="0.45">
      <c r="A77" s="44" t="s">
        <v>137</v>
      </c>
      <c r="B77" s="14" t="s">
        <v>218</v>
      </c>
      <c r="C77" s="1"/>
      <c r="D77" s="1"/>
      <c r="E77" s="1"/>
      <c r="F77" s="1"/>
      <c r="G77" s="1"/>
      <c r="H77" s="1"/>
      <c r="I77" s="1"/>
      <c r="J77" s="1"/>
    </row>
    <row r="78" spans="1:10" ht="5.25" customHeight="1" x14ac:dyDescent="0.25"/>
    <row r="79" spans="1:10" x14ac:dyDescent="0.25">
      <c r="B79" s="3" t="s">
        <v>221</v>
      </c>
    </row>
    <row r="80" spans="1:10" x14ac:dyDescent="0.25">
      <c r="B80" s="2" t="s">
        <v>219</v>
      </c>
      <c r="C80" s="25">
        <v>2.5000000000000001E-2</v>
      </c>
    </row>
    <row r="81" spans="1:10" x14ac:dyDescent="0.25">
      <c r="B81" s="2" t="s">
        <v>33</v>
      </c>
      <c r="C81" s="24">
        <f>J14</f>
        <v>0.26</v>
      </c>
    </row>
    <row r="82" spans="1:10" x14ac:dyDescent="0.25">
      <c r="B82" s="17" t="s">
        <v>220</v>
      </c>
      <c r="C82" s="111">
        <f>C80*(1+C81)</f>
        <v>3.15E-2</v>
      </c>
    </row>
    <row r="83" spans="1:10" ht="5.25" customHeight="1" x14ac:dyDescent="0.25"/>
    <row r="84" spans="1:10" x14ac:dyDescent="0.25">
      <c r="B84" s="3" t="s">
        <v>222</v>
      </c>
    </row>
    <row r="85" spans="1:10" x14ac:dyDescent="0.25">
      <c r="B85" s="2" t="s">
        <v>223</v>
      </c>
      <c r="C85" s="25">
        <v>1.374E-2</v>
      </c>
    </row>
    <row r="86" spans="1:10" x14ac:dyDescent="0.25">
      <c r="B86" s="2" t="s">
        <v>224</v>
      </c>
      <c r="C86" s="42">
        <v>1.28</v>
      </c>
    </row>
    <row r="87" spans="1:10" x14ac:dyDescent="0.25">
      <c r="B87" s="2" t="s">
        <v>225</v>
      </c>
      <c r="C87" s="25">
        <v>4.1300000000000003E-2</v>
      </c>
    </row>
    <row r="88" spans="1:10" x14ac:dyDescent="0.25">
      <c r="B88" s="17" t="s">
        <v>226</v>
      </c>
      <c r="C88" s="111">
        <f>C85+C86*C87</f>
        <v>6.660400000000001E-2</v>
      </c>
    </row>
    <row r="89" spans="1:10" ht="5.25" customHeight="1" x14ac:dyDescent="0.25"/>
    <row r="90" spans="1:10" x14ac:dyDescent="0.25">
      <c r="C90" s="95" t="s">
        <v>227</v>
      </c>
      <c r="D90" s="95" t="s">
        <v>228</v>
      </c>
    </row>
    <row r="91" spans="1:10" x14ac:dyDescent="0.25">
      <c r="B91" s="2" t="s">
        <v>229</v>
      </c>
      <c r="C91" s="30">
        <f>C5*C63</f>
        <v>1196081.2127999999</v>
      </c>
      <c r="D91" s="24">
        <f>1-D92</f>
        <v>1.0949893710703087</v>
      </c>
    </row>
    <row r="92" spans="1:10" x14ac:dyDescent="0.25">
      <c r="B92" s="2" t="s">
        <v>54</v>
      </c>
      <c r="C92" s="30">
        <f>C53</f>
        <v>-103759</v>
      </c>
      <c r="D92" s="24">
        <f>C92/(C92+C91)</f>
        <v>-9.4989371070308803E-2</v>
      </c>
    </row>
    <row r="93" spans="1:10" x14ac:dyDescent="0.25">
      <c r="B93" s="17" t="s">
        <v>230</v>
      </c>
      <c r="C93" s="39"/>
      <c r="D93" s="111">
        <f>C82*D92+C88*D91</f>
        <v>6.9938506882052123E-2</v>
      </c>
    </row>
    <row r="94" spans="1:10" ht="5.25" customHeight="1" x14ac:dyDescent="0.25"/>
    <row r="95" spans="1:10" ht="23.25" x14ac:dyDescent="0.35">
      <c r="A95" s="22"/>
      <c r="B95" s="23" t="s">
        <v>231</v>
      </c>
      <c r="C95" s="22"/>
      <c r="D95" s="22"/>
      <c r="E95" s="22"/>
      <c r="F95" s="22"/>
      <c r="G95" s="22"/>
      <c r="H95" s="22"/>
      <c r="I95" s="22"/>
      <c r="J95" s="22"/>
    </row>
    <row r="96" spans="1:10" ht="5.25" customHeight="1" outlineLevel="1" x14ac:dyDescent="0.25"/>
    <row r="97" spans="2:9" outlineLevel="1" x14ac:dyDescent="0.25">
      <c r="C97" s="137" t="s">
        <v>215</v>
      </c>
      <c r="D97" s="137"/>
      <c r="E97" s="137"/>
      <c r="F97" s="137"/>
      <c r="G97" s="137"/>
      <c r="H97" s="137"/>
      <c r="I97" s="123"/>
    </row>
    <row r="98" spans="2:9" outlineLevel="1" x14ac:dyDescent="0.25">
      <c r="C98" s="139" t="s">
        <v>232</v>
      </c>
      <c r="D98" s="139"/>
      <c r="E98" s="139"/>
      <c r="F98" s="139"/>
      <c r="G98" s="139"/>
      <c r="H98" s="139"/>
      <c r="I98" s="124"/>
    </row>
    <row r="99" spans="2:9" outlineLevel="1" x14ac:dyDescent="0.25">
      <c r="C99" s="114">
        <f ca="1">C74</f>
        <v>358.87647715514538</v>
      </c>
      <c r="D99" s="115">
        <f>E99-0.005</f>
        <v>1.9999999999999997E-2</v>
      </c>
      <c r="E99" s="115">
        <f>F99-0.005</f>
        <v>2.4999999999999998E-2</v>
      </c>
      <c r="F99" s="52">
        <v>0.03</v>
      </c>
      <c r="G99" s="115">
        <f>F99+0.005</f>
        <v>3.4999999999999996E-2</v>
      </c>
      <c r="H99" s="121">
        <f>G99+0.005</f>
        <v>3.9999999999999994E-2</v>
      </c>
    </row>
    <row r="100" spans="2:9" outlineLevel="1" x14ac:dyDescent="0.25">
      <c r="C100" s="116">
        <f>C101-0.01</f>
        <v>0.05</v>
      </c>
      <c r="D100" s="60">
        <f t="dataTable" ref="D100:H104" dt2D="1" dtr="1" r1="C41" r2="D93" ca="1"/>
        <v>480.23698567550002</v>
      </c>
      <c r="E100" s="61">
        <v>560.19132056863646</v>
      </c>
      <c r="F100" s="61">
        <v>680.12282290834105</v>
      </c>
      <c r="G100" s="61">
        <v>880.00866014118185</v>
      </c>
      <c r="H100" s="62">
        <v>1279.7803346068633</v>
      </c>
    </row>
    <row r="101" spans="2:9" outlineLevel="1" x14ac:dyDescent="0.25">
      <c r="C101" s="116">
        <f>C102-0.01</f>
        <v>6.0000000000000005E-2</v>
      </c>
      <c r="D101" s="63">
        <v>369.10518816680258</v>
      </c>
      <c r="E101" s="55">
        <v>410.5052837635908</v>
      </c>
      <c r="F101" s="55">
        <v>465.70541122597518</v>
      </c>
      <c r="G101" s="55">
        <v>542.98558967331314</v>
      </c>
      <c r="H101" s="56">
        <v>658.90585734432011</v>
      </c>
    </row>
    <row r="102" spans="2:9" outlineLevel="1" x14ac:dyDescent="0.25">
      <c r="B102" s="45" t="s">
        <v>230</v>
      </c>
      <c r="C102" s="54">
        <v>7.0000000000000007E-2</v>
      </c>
      <c r="D102" s="63">
        <v>302.34089511413202</v>
      </c>
      <c r="E102" s="55">
        <v>327.24733688136598</v>
      </c>
      <c r="F102" s="55">
        <v>358.3803890904083</v>
      </c>
      <c r="G102" s="55">
        <v>398.40859907346277</v>
      </c>
      <c r="H102" s="56">
        <v>451.77954571753531</v>
      </c>
    </row>
    <row r="103" spans="2:9" outlineLevel="1" x14ac:dyDescent="0.25">
      <c r="C103" s="116">
        <f>C102+0.01</f>
        <v>0.08</v>
      </c>
      <c r="D103" s="63">
        <v>257.76371302951782</v>
      </c>
      <c r="E103" s="55">
        <v>274.18779991081828</v>
      </c>
      <c r="F103" s="55">
        <v>293.8967041683789</v>
      </c>
      <c r="G103" s="55">
        <v>317.98536492761951</v>
      </c>
      <c r="H103" s="56">
        <v>348.09619087667039</v>
      </c>
    </row>
    <row r="104" spans="2:9" outlineLevel="1" x14ac:dyDescent="0.25">
      <c r="C104" s="120">
        <f>C103+0.01</f>
        <v>0.09</v>
      </c>
      <c r="D104" s="64">
        <v>225.86759378988623</v>
      </c>
      <c r="E104" s="58">
        <v>237.39199525604829</v>
      </c>
      <c r="F104" s="58">
        <v>250.83713029990406</v>
      </c>
      <c r="G104" s="58">
        <v>266.7268353517336</v>
      </c>
      <c r="H104" s="59">
        <v>285.79448141392902</v>
      </c>
    </row>
    <row r="105" spans="2:9" ht="5.25" customHeight="1" outlineLevel="1" x14ac:dyDescent="0.25"/>
    <row r="106" spans="2:9" outlineLevel="1" x14ac:dyDescent="0.25">
      <c r="C106" s="137" t="s">
        <v>215</v>
      </c>
      <c r="D106" s="137"/>
      <c r="E106" s="137"/>
      <c r="F106" s="137"/>
      <c r="G106" s="137"/>
      <c r="H106" s="137"/>
    </row>
    <row r="107" spans="2:9" outlineLevel="1" x14ac:dyDescent="0.25">
      <c r="C107" s="138" t="s">
        <v>233</v>
      </c>
      <c r="D107" s="138"/>
      <c r="E107" s="138"/>
      <c r="F107" s="138"/>
      <c r="G107" s="138"/>
      <c r="H107" s="138"/>
    </row>
    <row r="108" spans="2:9" outlineLevel="1" x14ac:dyDescent="0.25">
      <c r="C108" s="114">
        <f ca="1">D74</f>
        <v>284.82008245244651</v>
      </c>
      <c r="D108" s="125">
        <f>E108-0.5</f>
        <v>11</v>
      </c>
      <c r="E108" s="125">
        <f>F108-0.5</f>
        <v>11.5</v>
      </c>
      <c r="F108" s="122">
        <v>12</v>
      </c>
      <c r="G108" s="125">
        <f>F108+0.5</f>
        <v>12.5</v>
      </c>
      <c r="H108" s="126">
        <f>G108+0.5</f>
        <v>13</v>
      </c>
    </row>
    <row r="109" spans="2:9" outlineLevel="1" x14ac:dyDescent="0.25">
      <c r="C109" s="116">
        <f>C110-0.01</f>
        <v>0.05</v>
      </c>
      <c r="D109" s="60">
        <f t="dataTable" ref="D109:H113" dt2D="1" dtr="1" r1="H40" r2="D93" ca="1"/>
        <v>287.90506061944359</v>
      </c>
      <c r="E109" s="61">
        <v>296.81495614525039</v>
      </c>
      <c r="F109" s="61">
        <v>305.72485167105719</v>
      </c>
      <c r="G109" s="61">
        <v>314.63474719686394</v>
      </c>
      <c r="H109" s="62">
        <v>323.54464272267069</v>
      </c>
    </row>
    <row r="110" spans="2:9" outlineLevel="1" x14ac:dyDescent="0.25">
      <c r="C110" s="116">
        <f>C111-0.01</f>
        <v>6.0000000000000005E-2</v>
      </c>
      <c r="D110" s="63">
        <v>277.91470321833611</v>
      </c>
      <c r="E110" s="55">
        <v>286.4453536692663</v>
      </c>
      <c r="F110" s="55">
        <v>294.97600412019659</v>
      </c>
      <c r="G110" s="55">
        <v>303.50665457112683</v>
      </c>
      <c r="H110" s="56">
        <v>312.03730502205713</v>
      </c>
    </row>
    <row r="111" spans="2:9" outlineLevel="1" x14ac:dyDescent="0.25">
      <c r="B111" s="45" t="s">
        <v>230</v>
      </c>
      <c r="C111" s="54">
        <v>7.0000000000000007E-2</v>
      </c>
      <c r="D111" s="63">
        <v>268.4170451258575</v>
      </c>
      <c r="E111" s="55">
        <v>276.58792940520129</v>
      </c>
      <c r="F111" s="55">
        <v>284.75881368454509</v>
      </c>
      <c r="G111" s="55">
        <v>292.92969796388888</v>
      </c>
      <c r="H111" s="56">
        <v>301.10058224323279</v>
      </c>
    </row>
    <row r="112" spans="2:9" outlineLevel="1" x14ac:dyDescent="0.25">
      <c r="C112" s="116">
        <f>C111+0.01</f>
        <v>0.08</v>
      </c>
      <c r="D112" s="63">
        <v>259.38312162954981</v>
      </c>
      <c r="E112" s="55">
        <v>267.21254991642803</v>
      </c>
      <c r="F112" s="55">
        <v>275.0419782033062</v>
      </c>
      <c r="G112" s="55">
        <v>282.87140649018437</v>
      </c>
      <c r="H112" s="56">
        <v>290.70083477706265</v>
      </c>
    </row>
    <row r="113" spans="1:10" outlineLevel="1" x14ac:dyDescent="0.25">
      <c r="C113" s="120">
        <f>C112+0.01</f>
        <v>0.09</v>
      </c>
      <c r="D113" s="64">
        <v>250.78592727585846</v>
      </c>
      <c r="E113" s="58">
        <v>258.29112105988759</v>
      </c>
      <c r="F113" s="58">
        <v>265.79631484391672</v>
      </c>
      <c r="G113" s="58">
        <v>273.30150862794585</v>
      </c>
      <c r="H113" s="59">
        <v>280.80670241197504</v>
      </c>
    </row>
    <row r="114" spans="1:10" ht="5.25" customHeight="1" outlineLevel="1" x14ac:dyDescent="0.25"/>
    <row r="115" spans="1:10" outlineLevel="1" x14ac:dyDescent="0.25">
      <c r="C115" s="137" t="s">
        <v>215</v>
      </c>
      <c r="D115" s="137"/>
      <c r="E115" s="137"/>
      <c r="F115" s="137"/>
      <c r="G115" s="137"/>
      <c r="H115" s="137"/>
    </row>
    <row r="116" spans="1:10" outlineLevel="1" x14ac:dyDescent="0.25">
      <c r="C116" s="139" t="s">
        <v>233</v>
      </c>
      <c r="D116" s="139"/>
      <c r="E116" s="139"/>
      <c r="F116" s="139"/>
      <c r="G116" s="139"/>
      <c r="H116" s="139"/>
    </row>
    <row r="117" spans="1:10" outlineLevel="1" x14ac:dyDescent="0.25">
      <c r="B117" s="45" t="s">
        <v>234</v>
      </c>
      <c r="C117" s="114">
        <f ca="1">D74</f>
        <v>284.82008245244651</v>
      </c>
      <c r="D117" s="125">
        <f>E117-0.5</f>
        <v>10.5</v>
      </c>
      <c r="E117" s="125">
        <f>F117-0.5</f>
        <v>11</v>
      </c>
      <c r="F117" s="125">
        <f>G117-0.5</f>
        <v>11.5</v>
      </c>
      <c r="G117" s="122">
        <v>12</v>
      </c>
      <c r="H117" s="126">
        <f>G117+0.5</f>
        <v>12.5</v>
      </c>
    </row>
    <row r="118" spans="1:10" outlineLevel="1" x14ac:dyDescent="0.25">
      <c r="B118" s="21">
        <v>0.7</v>
      </c>
      <c r="C118" s="118">
        <f>C120*B118</f>
        <v>69596.799999999988</v>
      </c>
      <c r="D118" s="60">
        <f t="dataTable" ref="D118:H122" dt2D="1" dtr="1" r1="H40" r2="J12" ca="1"/>
        <v>211.13679528983982</v>
      </c>
      <c r="E118" s="61">
        <v>216.96868388609983</v>
      </c>
      <c r="F118" s="61">
        <v>222.80057248235983</v>
      </c>
      <c r="G118" s="61">
        <v>228.63246107861983</v>
      </c>
      <c r="H118" s="62">
        <v>234.4643496748798</v>
      </c>
    </row>
    <row r="119" spans="1:10" outlineLevel="1" x14ac:dyDescent="0.25">
      <c r="B119" s="21">
        <v>0.85</v>
      </c>
      <c r="C119" s="118">
        <f>C120*B119</f>
        <v>84510.399999999994</v>
      </c>
      <c r="D119" s="63">
        <v>237.38029397300986</v>
      </c>
      <c r="E119" s="55">
        <v>244.46187298275407</v>
      </c>
      <c r="F119" s="55">
        <v>251.54345199249838</v>
      </c>
      <c r="G119" s="55">
        <v>258.62503100224262</v>
      </c>
      <c r="H119" s="56">
        <v>265.70661001198692</v>
      </c>
    </row>
    <row r="120" spans="1:10" outlineLevel="1" x14ac:dyDescent="0.25">
      <c r="B120" s="21">
        <v>1</v>
      </c>
      <c r="C120" s="127">
        <v>99424</v>
      </c>
      <c r="D120" s="63">
        <v>263.62379265617983</v>
      </c>
      <c r="E120" s="55">
        <v>271.95506207940838</v>
      </c>
      <c r="F120" s="55">
        <v>280.28633150263693</v>
      </c>
      <c r="G120" s="55">
        <v>288.61760092586547</v>
      </c>
      <c r="H120" s="56">
        <v>296.94887034909408</v>
      </c>
    </row>
    <row r="121" spans="1:10" outlineLevel="1" x14ac:dyDescent="0.25">
      <c r="B121" s="21">
        <v>1.1499999999999999</v>
      </c>
      <c r="C121" s="118">
        <f>C120*B121</f>
        <v>114337.59999999999</v>
      </c>
      <c r="D121" s="63">
        <v>289.86729133934972</v>
      </c>
      <c r="E121" s="55">
        <v>299.44825117606257</v>
      </c>
      <c r="F121" s="55">
        <v>309.02921101277548</v>
      </c>
      <c r="G121" s="55">
        <v>318.61017084948833</v>
      </c>
      <c r="H121" s="56">
        <v>328.19113068620118</v>
      </c>
    </row>
    <row r="122" spans="1:10" outlineLevel="1" x14ac:dyDescent="0.25">
      <c r="B122" s="21">
        <v>1.3</v>
      </c>
      <c r="C122" s="119">
        <f>C120*B122</f>
        <v>129251.20000000001</v>
      </c>
      <c r="D122" s="64">
        <v>316.11079002251978</v>
      </c>
      <c r="E122" s="58">
        <v>326.94144027271693</v>
      </c>
      <c r="F122" s="58">
        <v>337.77209052291403</v>
      </c>
      <c r="G122" s="58">
        <v>348.60274077311118</v>
      </c>
      <c r="H122" s="59">
        <v>359.43339102330833</v>
      </c>
    </row>
    <row r="123" spans="1:10" ht="5.25" customHeight="1" x14ac:dyDescent="0.25"/>
    <row r="124" spans="1:10" ht="23.25" x14ac:dyDescent="0.35">
      <c r="A124" s="22"/>
      <c r="B124" s="23" t="s">
        <v>239</v>
      </c>
      <c r="C124" s="22"/>
      <c r="D124" s="22"/>
      <c r="E124" s="22"/>
      <c r="F124" s="22"/>
      <c r="G124" s="22"/>
      <c r="H124" s="22"/>
      <c r="I124" s="22"/>
      <c r="J124" s="22"/>
    </row>
    <row r="125" spans="1:10" ht="5.25" customHeight="1" outlineLevel="1" x14ac:dyDescent="0.25"/>
    <row r="126" spans="1:10" outlineLevel="1" x14ac:dyDescent="0.25">
      <c r="G126" s="137" t="s">
        <v>240</v>
      </c>
      <c r="H126" s="137"/>
      <c r="I126" s="137"/>
    </row>
    <row r="127" spans="1:10" outlineLevel="1" x14ac:dyDescent="0.25">
      <c r="G127" s="2" t="s">
        <v>241</v>
      </c>
      <c r="I127" s="13">
        <f>'Financial Statements'!E20+4451-3902</f>
        <v>64479</v>
      </c>
    </row>
    <row r="128" spans="1:10" outlineLevel="1" x14ac:dyDescent="0.25">
      <c r="G128" s="2" t="s">
        <v>242</v>
      </c>
      <c r="I128" s="13">
        <f>'Financial Statements'!E45+2816-3395</f>
        <v>11968</v>
      </c>
    </row>
    <row r="129" spans="2:9" outlineLevel="1" x14ac:dyDescent="0.25">
      <c r="G129" s="2" t="s">
        <v>243</v>
      </c>
      <c r="I129" s="13">
        <f>'Financial Statements'!E46+1710-1559</f>
        <v>6345</v>
      </c>
    </row>
    <row r="130" spans="2:9" outlineLevel="1" x14ac:dyDescent="0.25">
      <c r="G130" s="17" t="s">
        <v>244</v>
      </c>
      <c r="H130" s="17"/>
      <c r="I130" s="18">
        <f>SUM(I127:I129)</f>
        <v>82792</v>
      </c>
    </row>
    <row r="131" spans="2:9" outlineLevel="1" x14ac:dyDescent="0.25">
      <c r="G131" s="2" t="s">
        <v>245</v>
      </c>
      <c r="I131" s="13">
        <f>C5*C63</f>
        <v>1196081.2127999999</v>
      </c>
    </row>
    <row r="132" spans="2:9" outlineLevel="1" x14ac:dyDescent="0.25">
      <c r="G132" s="2" t="s">
        <v>210</v>
      </c>
      <c r="I132" s="13">
        <f>I131+C53</f>
        <v>1092322.2127999999</v>
      </c>
    </row>
    <row r="133" spans="2:9" outlineLevel="1" x14ac:dyDescent="0.25">
      <c r="G133" s="17" t="s">
        <v>246</v>
      </c>
      <c r="H133" s="17"/>
      <c r="I133" s="131">
        <f>I132/I130</f>
        <v>13.193571997294423</v>
      </c>
    </row>
    <row r="134" spans="2:9" outlineLevel="1" x14ac:dyDescent="0.25">
      <c r="G134" s="94" t="s">
        <v>247</v>
      </c>
      <c r="I134" s="112">
        <f>H40</f>
        <v>12</v>
      </c>
    </row>
    <row r="135" spans="2:9" outlineLevel="1" x14ac:dyDescent="0.25"/>
    <row r="136" spans="2:9" outlineLevel="1" x14ac:dyDescent="0.25"/>
    <row r="137" spans="2:9" outlineLevel="1" x14ac:dyDescent="0.25"/>
    <row r="138" spans="2:9" outlineLevel="1" x14ac:dyDescent="0.25"/>
    <row r="139" spans="2:9" outlineLevel="1" x14ac:dyDescent="0.25"/>
    <row r="140" spans="2:9" outlineLevel="1" x14ac:dyDescent="0.25"/>
    <row r="141" spans="2:9" ht="5.25" customHeight="1" outlineLevel="1" x14ac:dyDescent="0.25"/>
    <row r="142" spans="2:9" outlineLevel="1" x14ac:dyDescent="0.25">
      <c r="B142" s="117"/>
      <c r="C142" s="102" t="s">
        <v>236</v>
      </c>
      <c r="D142" s="102" t="s">
        <v>237</v>
      </c>
      <c r="E142" s="132" t="s">
        <v>238</v>
      </c>
    </row>
    <row r="143" spans="2:9" outlineLevel="1" x14ac:dyDescent="0.25">
      <c r="B143" s="128" t="str">
        <f>"DCF Value at "&amp;TEXT(D108,"0.0x")&amp;"-"&amp;TEXT(H108,"0.0x")&amp;" Exit EBITDA Range"</f>
        <v>DCF Value at 11.0x-13.0x Exit EBITDA Range</v>
      </c>
      <c r="C143" s="61">
        <f>D111</f>
        <v>268.4170451258575</v>
      </c>
      <c r="D143" s="61">
        <f t="shared" ref="D143:D144" si="5">E143-C143</f>
        <v>32.683537117375295</v>
      </c>
      <c r="E143" s="62">
        <f>H111</f>
        <v>301.10058224323279</v>
      </c>
    </row>
    <row r="144" spans="2:9" outlineLevel="1" x14ac:dyDescent="0.25">
      <c r="B144" s="129" t="str">
        <f>"DCF Value at "&amp;TEXT(D99,"0.0%")&amp;"-"&amp;TEXT(H99,"0.0%")&amp;" Perpetuity Range"</f>
        <v>DCF Value at 2.0%-4.0% Perpetuity Range</v>
      </c>
      <c r="C144" s="55">
        <f>D102</f>
        <v>302.34089511413202</v>
      </c>
      <c r="D144" s="55">
        <f t="shared" si="5"/>
        <v>149.43865060340329</v>
      </c>
      <c r="E144" s="56">
        <f>H102</f>
        <v>451.77954571753531</v>
      </c>
    </row>
    <row r="145" spans="2:5" outlineLevel="1" x14ac:dyDescent="0.25">
      <c r="B145" s="130" t="s">
        <v>235</v>
      </c>
      <c r="C145" s="58">
        <v>169.5</v>
      </c>
      <c r="D145" s="58">
        <f>E145-C145</f>
        <v>158.35000000000002</v>
      </c>
      <c r="E145" s="59">
        <v>327.85</v>
      </c>
    </row>
  </sheetData>
  <sheetProtection algorithmName="SHA-512" hashValue="ZXVvJ33ZQcMG42FAERLxV95cdhDq9ew6EAfXuTxyk7frVbm3miGghcj0G6uBBNgXJUgnyjt3mqVKjjYdMFf7fw==" saltValue="JnkvSMTric7x6sswrcv+Dw==" spinCount="100000" sheet="1" objects="1" scenarios="1"/>
  <mergeCells count="9">
    <mergeCell ref="G126:I126"/>
    <mergeCell ref="C107:H107"/>
    <mergeCell ref="C97:H97"/>
    <mergeCell ref="C98:H98"/>
    <mergeCell ref="C1:E1"/>
    <mergeCell ref="F1:J1"/>
    <mergeCell ref="C106:H106"/>
    <mergeCell ref="C115:H115"/>
    <mergeCell ref="C116:H116"/>
  </mergeCells>
  <conditionalFormatting sqref="D100:H104">
    <cfRule type="cellIs" dxfId="2" priority="3" operator="lessThan">
      <formula>$C$5</formula>
    </cfRule>
  </conditionalFormatting>
  <conditionalFormatting sqref="D109:H113">
    <cfRule type="cellIs" dxfId="1" priority="2" operator="lessThan">
      <formula>$C$5</formula>
    </cfRule>
  </conditionalFormatting>
  <conditionalFormatting sqref="D118:H122">
    <cfRule type="cellIs" dxfId="0" priority="1" operator="lessThan">
      <formula>$C$5</formula>
    </cfRule>
  </conditionalFormatting>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Scenario Assumptions</vt:lpstr>
      <vt:lpstr>Financial Statements</vt:lpstr>
      <vt:lpstr>Depreciation Waterfall</vt:lpstr>
      <vt:lpstr>DCF</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dc:creator>
  <cp:lastModifiedBy>Sergio</cp:lastModifiedBy>
  <cp:lastPrinted>2020-02-20T20:45:53Z</cp:lastPrinted>
  <dcterms:created xsi:type="dcterms:W3CDTF">2020-02-14T15:38:01Z</dcterms:created>
  <dcterms:modified xsi:type="dcterms:W3CDTF">2020-03-02T15:05:38Z</dcterms:modified>
</cp:coreProperties>
</file>