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Sergio\Desktop\Career Stuff\"/>
    </mc:Choice>
  </mc:AlternateContent>
  <xr:revisionPtr revIDLastSave="0" documentId="13_ncr:1_{6612BEEC-0D71-4939-960B-A8CD019D127D}" xr6:coauthVersionLast="45" xr6:coauthVersionMax="45" xr10:uidLastSave="{00000000-0000-0000-0000-000000000000}"/>
  <workbookProtection workbookAlgorithmName="SHA-512" workbookHashValue="0Qnb46kq1WbwKXu6y/Eru88onR5hNbAYFL1GW3IdxyUKG0fi/Bua1Gre3pwOxz3YenZh2uS4Y5cwt84K2ZMcJg==" workbookSaltValue="NVlIFmSWAIC7Z8tU1mQh/A==" workbookSpinCount="100000" lockStructure="1"/>
  <bookViews>
    <workbookView xWindow="0" yWindow="945" windowWidth="28800" windowHeight="14835" activeTab="8" xr2:uid="{7CDF1087-D9AD-4DFE-9E33-84457EB6D2E3}"/>
  </bookViews>
  <sheets>
    <sheet name="COVER" sheetId="6" r:id="rId1"/>
    <sheet name="SCENARIO" sheetId="7" r:id="rId2"/>
    <sheet name="HP FSM" sheetId="1" r:id="rId3"/>
    <sheet name="HP DCF" sheetId="3" r:id="rId4"/>
    <sheet name="XEROX FSM" sheetId="2" r:id="rId5"/>
    <sheet name="XEROX DCF" sheetId="4" r:id="rId6"/>
    <sheet name="MERGER" sheetId="5" r:id="rId7"/>
    <sheet name="CONTRIBUTION" sheetId="8" r:id="rId8"/>
    <sheet name="EXCHANGE" sheetId="9" r:id="rId9"/>
  </sheets>
  <calcPr calcId="191029" calcMode="autoNoTable"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36" i="5" l="1"/>
  <c r="J36" i="5"/>
  <c r="I36" i="5"/>
  <c r="C22" i="5"/>
  <c r="F6" i="9"/>
  <c r="F7" i="9" s="1"/>
  <c r="F8" i="9" s="1"/>
  <c r="F9" i="9" s="1"/>
  <c r="F10" i="9" s="1"/>
  <c r="F11" i="9" s="1"/>
  <c r="D22" i="9"/>
  <c r="D21" i="9"/>
  <c r="D20" i="9"/>
  <c r="D15" i="9"/>
  <c r="C15" i="9"/>
  <c r="D12" i="9"/>
  <c r="C12" i="9"/>
  <c r="C8" i="9"/>
  <c r="D6" i="9"/>
  <c r="C7" i="9"/>
  <c r="C6" i="9"/>
  <c r="C62" i="4"/>
  <c r="M83" i="5"/>
  <c r="L83" i="5"/>
  <c r="K83" i="5"/>
  <c r="J83" i="5"/>
  <c r="E31" i="8" l="1"/>
  <c r="D31" i="8"/>
  <c r="D8" i="8"/>
  <c r="C8" i="8"/>
  <c r="C7" i="8"/>
  <c r="C9" i="8" s="1"/>
  <c r="D6" i="8"/>
  <c r="C6" i="8"/>
  <c r="C5" i="8"/>
  <c r="E28" i="8" l="1"/>
  <c r="D28" i="8"/>
  <c r="E39" i="8"/>
  <c r="C18" i="5"/>
  <c r="C11" i="5"/>
  <c r="C20" i="5" l="1"/>
  <c r="D5" i="8" s="1"/>
  <c r="C13" i="5"/>
  <c r="E44" i="8" l="1"/>
  <c r="E52" i="8"/>
  <c r="D35" i="8"/>
  <c r="D7" i="8"/>
  <c r="D9" i="8" s="1"/>
  <c r="E35" i="8"/>
  <c r="C35" i="2"/>
  <c r="C34" i="2"/>
  <c r="H85" i="5"/>
  <c r="H86" i="5" s="1"/>
  <c r="H87" i="5" s="1"/>
  <c r="H88" i="5" s="1"/>
  <c r="L68" i="5"/>
  <c r="M68" i="5"/>
  <c r="K68" i="5"/>
  <c r="L67" i="5"/>
  <c r="M67" i="5"/>
  <c r="K67" i="5"/>
  <c r="K62" i="5"/>
  <c r="K61" i="5"/>
  <c r="K57" i="5"/>
  <c r="K56" i="5"/>
  <c r="K77" i="5" s="1"/>
  <c r="K60" i="5"/>
  <c r="K55" i="5"/>
  <c r="M47" i="5"/>
  <c r="J48" i="5"/>
  <c r="I48" i="5"/>
  <c r="J47" i="5"/>
  <c r="I47" i="5"/>
  <c r="J45" i="5"/>
  <c r="J50" i="5" s="1"/>
  <c r="J43" i="5"/>
  <c r="I43" i="5"/>
  <c r="J42" i="5"/>
  <c r="I42" i="5"/>
  <c r="J39" i="5"/>
  <c r="I39" i="5"/>
  <c r="K24" i="5"/>
  <c r="M24" i="5" s="1"/>
  <c r="F51" i="5"/>
  <c r="M31" i="5"/>
  <c r="M32" i="5"/>
  <c r="M33" i="5"/>
  <c r="M30" i="5"/>
  <c r="M23" i="5"/>
  <c r="M26" i="5"/>
  <c r="M22" i="5"/>
  <c r="M12" i="5"/>
  <c r="M13" i="5"/>
  <c r="M14" i="5"/>
  <c r="M17" i="5"/>
  <c r="M18" i="5"/>
  <c r="L25" i="5"/>
  <c r="L17" i="5"/>
  <c r="L23" i="5"/>
  <c r="L16" i="5"/>
  <c r="K14" i="5"/>
  <c r="F37" i="5"/>
  <c r="F39" i="5" s="1"/>
  <c r="D20" i="8" l="1"/>
  <c r="C20" i="8"/>
  <c r="J46" i="5"/>
  <c r="J49" i="5" s="1"/>
  <c r="F45" i="5"/>
  <c r="E20" i="8" l="1"/>
  <c r="J31" i="5"/>
  <c r="J32" i="5"/>
  <c r="J33" i="5"/>
  <c r="J30" i="5"/>
  <c r="J34" i="5" s="1"/>
  <c r="J23" i="5"/>
  <c r="J25" i="5"/>
  <c r="J26" i="5"/>
  <c r="J27" i="5" s="1"/>
  <c r="F50" i="5" s="1"/>
  <c r="F52" i="5" s="1"/>
  <c r="J22" i="5"/>
  <c r="J12" i="5"/>
  <c r="J13" i="5"/>
  <c r="J14" i="5"/>
  <c r="F27" i="5" s="1"/>
  <c r="F29" i="5" s="1"/>
  <c r="J16" i="5"/>
  <c r="F46" i="5" s="1"/>
  <c r="J17" i="5"/>
  <c r="F47" i="5" s="1"/>
  <c r="J18" i="5"/>
  <c r="J11" i="5"/>
  <c r="I31" i="5"/>
  <c r="I32" i="5"/>
  <c r="I33" i="5"/>
  <c r="I30" i="5"/>
  <c r="I23" i="5"/>
  <c r="I25" i="5"/>
  <c r="I26" i="5"/>
  <c r="I22" i="5"/>
  <c r="I27" i="5" s="1"/>
  <c r="I12" i="5"/>
  <c r="I13" i="5"/>
  <c r="I14" i="5"/>
  <c r="I16" i="5"/>
  <c r="I17" i="5"/>
  <c r="I18" i="5"/>
  <c r="I11" i="5"/>
  <c r="I19" i="5" s="1"/>
  <c r="C55" i="5"/>
  <c r="C54" i="5"/>
  <c r="C51" i="5"/>
  <c r="C45" i="5"/>
  <c r="C41" i="5"/>
  <c r="C40" i="5"/>
  <c r="F40" i="5" s="1"/>
  <c r="C39" i="5"/>
  <c r="C38" i="5"/>
  <c r="C28" i="5"/>
  <c r="C31" i="5"/>
  <c r="C24" i="5" l="1"/>
  <c r="F55" i="5" s="1"/>
  <c r="C32" i="5"/>
  <c r="F17" i="5"/>
  <c r="F8" i="5"/>
  <c r="F44" i="5"/>
  <c r="F32" i="5"/>
  <c r="F31" i="5"/>
  <c r="J19" i="5"/>
  <c r="I34" i="5"/>
  <c r="C52" i="5" l="1"/>
  <c r="C59" i="5" s="1"/>
  <c r="C36" i="5"/>
  <c r="F18" i="5" s="1"/>
  <c r="L34" i="5" s="1"/>
  <c r="C46" i="5"/>
  <c r="F7" i="5" s="1"/>
  <c r="K25" i="5" s="1"/>
  <c r="L65" i="5" s="1"/>
  <c r="F16" i="5"/>
  <c r="C30" i="5"/>
  <c r="F10" i="5"/>
  <c r="K34" i="5" s="1"/>
  <c r="C47" i="5"/>
  <c r="F43" i="5"/>
  <c r="F48" i="5" s="1"/>
  <c r="F54" i="5" s="1"/>
  <c r="F56" i="5" s="1"/>
  <c r="K16" i="5" s="1"/>
  <c r="M16" i="5" s="1"/>
  <c r="D28" i="7"/>
  <c r="G38" i="2" s="1"/>
  <c r="E28" i="7"/>
  <c r="H38" i="2" s="1"/>
  <c r="F28" i="7"/>
  <c r="I38" i="2" s="1"/>
  <c r="G28" i="7"/>
  <c r="J38" i="2" s="1"/>
  <c r="D29" i="7"/>
  <c r="G39" i="2" s="1"/>
  <c r="E29" i="7"/>
  <c r="H39" i="2" s="1"/>
  <c r="F29" i="7"/>
  <c r="I39" i="2" s="1"/>
  <c r="G29" i="7"/>
  <c r="J39" i="2" s="1"/>
  <c r="D30" i="7"/>
  <c r="G40" i="2" s="1"/>
  <c r="E30" i="7"/>
  <c r="H40" i="2" s="1"/>
  <c r="F30" i="7"/>
  <c r="I40" i="2" s="1"/>
  <c r="G30" i="7"/>
  <c r="J40" i="2" s="1"/>
  <c r="D31" i="7"/>
  <c r="G41" i="2" s="1"/>
  <c r="E31" i="7"/>
  <c r="H41" i="2" s="1"/>
  <c r="F31" i="7"/>
  <c r="I41" i="2" s="1"/>
  <c r="G31" i="7"/>
  <c r="J41" i="2" s="1"/>
  <c r="C29" i="7"/>
  <c r="F39" i="2" s="1"/>
  <c r="C30" i="7"/>
  <c r="F40" i="2" s="1"/>
  <c r="C31" i="7"/>
  <c r="F41" i="2" s="1"/>
  <c r="C28" i="7"/>
  <c r="F38" i="2" s="1"/>
  <c r="D5" i="7"/>
  <c r="G38" i="1" s="1"/>
  <c r="E5" i="7"/>
  <c r="H38" i="1" s="1"/>
  <c r="F5" i="7"/>
  <c r="I38" i="1" s="1"/>
  <c r="G5" i="7"/>
  <c r="J38" i="1" s="1"/>
  <c r="D6" i="7"/>
  <c r="G39" i="1" s="1"/>
  <c r="E6" i="7"/>
  <c r="H39" i="1" s="1"/>
  <c r="F6" i="7"/>
  <c r="I39" i="1" s="1"/>
  <c r="G6" i="7"/>
  <c r="J39" i="1" s="1"/>
  <c r="D7" i="7"/>
  <c r="G40" i="1" s="1"/>
  <c r="E7" i="7"/>
  <c r="H40" i="1" s="1"/>
  <c r="F7" i="7"/>
  <c r="I40" i="1" s="1"/>
  <c r="G7" i="7"/>
  <c r="J40" i="1" s="1"/>
  <c r="D8" i="7"/>
  <c r="G41" i="1" s="1"/>
  <c r="E8" i="7"/>
  <c r="H41" i="1" s="1"/>
  <c r="F8" i="7"/>
  <c r="I41" i="1" s="1"/>
  <c r="G8" i="7"/>
  <c r="J41" i="1" s="1"/>
  <c r="C6" i="7"/>
  <c r="F39" i="1" s="1"/>
  <c r="C7" i="7"/>
  <c r="F40" i="1" s="1"/>
  <c r="C8" i="7"/>
  <c r="F41" i="1" s="1"/>
  <c r="C5" i="7"/>
  <c r="F38" i="1" s="1"/>
  <c r="M65" i="5" l="1"/>
  <c r="M25" i="5"/>
  <c r="M27" i="5" s="1"/>
  <c r="K65" i="5"/>
  <c r="M34" i="5"/>
  <c r="F11" i="5"/>
  <c r="C60" i="5"/>
  <c r="F19" i="5"/>
  <c r="K15" i="5" s="1"/>
  <c r="M15" i="5" s="1"/>
  <c r="F15" i="5"/>
  <c r="K74" i="5"/>
  <c r="M45" i="5"/>
  <c r="F9" i="5"/>
  <c r="C48" i="5"/>
  <c r="G29" i="4"/>
  <c r="H29" i="4"/>
  <c r="I29" i="4"/>
  <c r="J29" i="4"/>
  <c r="F29" i="4"/>
  <c r="G22" i="4"/>
  <c r="H22" i="4"/>
  <c r="I22" i="4"/>
  <c r="J22" i="4"/>
  <c r="G23" i="4"/>
  <c r="H23" i="4"/>
  <c r="I23" i="4"/>
  <c r="J23" i="4"/>
  <c r="G24" i="4"/>
  <c r="H24" i="4"/>
  <c r="I24" i="4"/>
  <c r="J24" i="4"/>
  <c r="G25" i="4"/>
  <c r="H25" i="4"/>
  <c r="I25" i="4"/>
  <c r="J25" i="4"/>
  <c r="F22" i="4"/>
  <c r="F23" i="4"/>
  <c r="F24" i="4"/>
  <c r="F25" i="4"/>
  <c r="D12" i="4"/>
  <c r="E12" i="4"/>
  <c r="D13" i="4"/>
  <c r="D15" i="4" s="1"/>
  <c r="E13" i="4"/>
  <c r="E15" i="4" s="1"/>
  <c r="D14" i="4"/>
  <c r="E14" i="4"/>
  <c r="F14" i="4"/>
  <c r="G14" i="4"/>
  <c r="H14" i="4"/>
  <c r="I14" i="4"/>
  <c r="J14" i="4"/>
  <c r="C82" i="4" s="1"/>
  <c r="C83" i="4" s="1"/>
  <c r="C14" i="4"/>
  <c r="C13" i="4"/>
  <c r="C12" i="4"/>
  <c r="C6" i="4"/>
  <c r="C5" i="4"/>
  <c r="C89" i="4"/>
  <c r="D71" i="4"/>
  <c r="C71" i="4"/>
  <c r="C56" i="4"/>
  <c r="C54" i="4"/>
  <c r="F9" i="4"/>
  <c r="G9" i="4" s="1"/>
  <c r="D9" i="4"/>
  <c r="C9" i="4" s="1"/>
  <c r="C6" i="3"/>
  <c r="C5" i="3"/>
  <c r="C89" i="3"/>
  <c r="D71" i="3"/>
  <c r="C71" i="3"/>
  <c r="D70" i="3"/>
  <c r="C70" i="3"/>
  <c r="C56" i="3"/>
  <c r="C52" i="3"/>
  <c r="C54" i="3" s="1"/>
  <c r="C93" i="3" s="1"/>
  <c r="C51" i="3"/>
  <c r="G29" i="3"/>
  <c r="H29" i="3"/>
  <c r="I29" i="3"/>
  <c r="J29" i="3"/>
  <c r="F29" i="3"/>
  <c r="G22" i="3"/>
  <c r="H22" i="3"/>
  <c r="I22" i="3"/>
  <c r="J22" i="3"/>
  <c r="G23" i="3"/>
  <c r="H23" i="3"/>
  <c r="I23" i="3"/>
  <c r="J23" i="3"/>
  <c r="G24" i="3"/>
  <c r="H24" i="3"/>
  <c r="I24" i="3"/>
  <c r="J24" i="3"/>
  <c r="G25" i="3"/>
  <c r="H25" i="3"/>
  <c r="I25" i="3"/>
  <c r="J25" i="3"/>
  <c r="F22" i="3"/>
  <c r="F23" i="3"/>
  <c r="F24" i="3"/>
  <c r="F25" i="3"/>
  <c r="D12" i="3"/>
  <c r="E12" i="3"/>
  <c r="D13" i="3"/>
  <c r="E13" i="3"/>
  <c r="D14" i="3"/>
  <c r="E14" i="3"/>
  <c r="F14" i="3"/>
  <c r="G14" i="3"/>
  <c r="H14" i="3"/>
  <c r="I14" i="3"/>
  <c r="J14" i="3"/>
  <c r="C82" i="3" s="1"/>
  <c r="C83" i="3" s="1"/>
  <c r="C14" i="3"/>
  <c r="C13" i="3"/>
  <c r="C12" i="3"/>
  <c r="E15" i="3"/>
  <c r="F9" i="3"/>
  <c r="G9" i="3" s="1"/>
  <c r="D9" i="3"/>
  <c r="C9" i="3" s="1"/>
  <c r="G24" i="2"/>
  <c r="H24" i="2" s="1"/>
  <c r="I24" i="2" s="1"/>
  <c r="J24" i="2" s="1"/>
  <c r="J23" i="2"/>
  <c r="I23" i="2"/>
  <c r="H23" i="2"/>
  <c r="G23" i="2"/>
  <c r="F23" i="2"/>
  <c r="E259" i="1"/>
  <c r="F259" i="1" s="1"/>
  <c r="E264" i="2"/>
  <c r="E262" i="2"/>
  <c r="F263" i="2" s="1"/>
  <c r="D262" i="2"/>
  <c r="C262" i="2"/>
  <c r="G263" i="2"/>
  <c r="H262" i="2"/>
  <c r="I262" i="2" s="1"/>
  <c r="J262" i="2" s="1"/>
  <c r="F257" i="2"/>
  <c r="J257" i="1"/>
  <c r="I257" i="1"/>
  <c r="H257" i="1"/>
  <c r="G258" i="1"/>
  <c r="F258" i="1"/>
  <c r="E258" i="1"/>
  <c r="D258" i="1"/>
  <c r="C257" i="1"/>
  <c r="E257" i="1"/>
  <c r="D257" i="1"/>
  <c r="F252" i="1"/>
  <c r="C61" i="3" l="1"/>
  <c r="D15" i="3"/>
  <c r="M39" i="5"/>
  <c r="M50" i="5" s="1"/>
  <c r="F20" i="5"/>
  <c r="F12" i="5"/>
  <c r="D263" i="2"/>
  <c r="M69" i="5"/>
  <c r="K69" i="5"/>
  <c r="L69" i="5"/>
  <c r="L11" i="5"/>
  <c r="C15" i="4"/>
  <c r="G34" i="4"/>
  <c r="C93" i="4"/>
  <c r="D70" i="4"/>
  <c r="C70" i="4"/>
  <c r="J34" i="4"/>
  <c r="H9" i="4"/>
  <c r="I9" i="4" s="1"/>
  <c r="J9" i="4" s="1"/>
  <c r="F34" i="4"/>
  <c r="H34" i="4"/>
  <c r="I34" i="4"/>
  <c r="C59" i="4"/>
  <c r="G34" i="3"/>
  <c r="C59" i="3"/>
  <c r="C60" i="3" s="1"/>
  <c r="F34" i="3"/>
  <c r="C15" i="3"/>
  <c r="H9" i="3"/>
  <c r="H34" i="3" s="1"/>
  <c r="F254" i="1"/>
  <c r="F253" i="1"/>
  <c r="G259" i="1"/>
  <c r="F264" i="2"/>
  <c r="E263" i="2"/>
  <c r="M48" i="5" l="1"/>
  <c r="F21" i="5"/>
  <c r="G264" i="2"/>
  <c r="H264" i="2" s="1"/>
  <c r="F258" i="2"/>
  <c r="F259" i="2"/>
  <c r="K66" i="5"/>
  <c r="M11" i="5"/>
  <c r="L66" i="5"/>
  <c r="M66" i="5"/>
  <c r="C60" i="4"/>
  <c r="C62" i="3"/>
  <c r="C64" i="3" s="1"/>
  <c r="C92" i="3" s="1"/>
  <c r="I9" i="3"/>
  <c r="I34" i="3" s="1"/>
  <c r="H259" i="1"/>
  <c r="G253" i="1"/>
  <c r="G254" i="1"/>
  <c r="F255" i="1"/>
  <c r="C64" i="4" l="1"/>
  <c r="D74" i="4" s="1"/>
  <c r="C61" i="4"/>
  <c r="H259" i="2"/>
  <c r="H258" i="2"/>
  <c r="F260" i="2"/>
  <c r="G258" i="2"/>
  <c r="G259" i="2"/>
  <c r="L70" i="5"/>
  <c r="L71" i="5" s="1"/>
  <c r="M70" i="5"/>
  <c r="M71" i="5" s="1"/>
  <c r="M42" i="5"/>
  <c r="M43" i="5" s="1"/>
  <c r="M46" i="5" s="1"/>
  <c r="M49" i="5" s="1"/>
  <c r="M19" i="5"/>
  <c r="K70" i="5"/>
  <c r="K71" i="5" s="1"/>
  <c r="K73" i="5" s="1"/>
  <c r="K76" i="5" s="1"/>
  <c r="K78" i="5" s="1"/>
  <c r="D74" i="3"/>
  <c r="C74" i="3"/>
  <c r="D93" i="3"/>
  <c r="J9" i="3"/>
  <c r="J34" i="3" s="1"/>
  <c r="I259" i="1"/>
  <c r="H254" i="1"/>
  <c r="H253" i="1"/>
  <c r="F30" i="1"/>
  <c r="F32" i="1" s="1"/>
  <c r="L62" i="5" s="1"/>
  <c r="G252" i="1"/>
  <c r="I264" i="2"/>
  <c r="C74" i="4" l="1"/>
  <c r="C92" i="4"/>
  <c r="D93" i="4" s="1"/>
  <c r="I259" i="2"/>
  <c r="I258" i="2"/>
  <c r="G257" i="2"/>
  <c r="G260" i="2" s="1"/>
  <c r="F30" i="2"/>
  <c r="F32" i="2" s="1"/>
  <c r="H83" i="5"/>
  <c r="K80" i="5"/>
  <c r="K79" i="5"/>
  <c r="D92" i="4"/>
  <c r="D94" i="4" s="1"/>
  <c r="C8" i="4" s="1"/>
  <c r="D92" i="3"/>
  <c r="D94" i="3" s="1"/>
  <c r="C8" i="3" s="1"/>
  <c r="G255" i="1"/>
  <c r="H252" i="1" s="1"/>
  <c r="J259" i="1"/>
  <c r="I253" i="1"/>
  <c r="I254" i="1"/>
  <c r="J264" i="2"/>
  <c r="I45" i="5" l="1"/>
  <c r="L57" i="5"/>
  <c r="L74" i="5" s="1"/>
  <c r="J258" i="2"/>
  <c r="J259" i="2"/>
  <c r="H257" i="2"/>
  <c r="H260" i="2" s="1"/>
  <c r="G30" i="2"/>
  <c r="G32" i="2" s="1"/>
  <c r="M57" i="5" s="1"/>
  <c r="M74" i="5" s="1"/>
  <c r="H255" i="1"/>
  <c r="I252" i="1" s="1"/>
  <c r="J253" i="1"/>
  <c r="J254" i="1"/>
  <c r="G30" i="1"/>
  <c r="G32" i="1" s="1"/>
  <c r="M62" i="5" s="1"/>
  <c r="I257" i="2" l="1"/>
  <c r="I260" i="2" s="1"/>
  <c r="H30" i="2"/>
  <c r="H32" i="2" s="1"/>
  <c r="I50" i="5"/>
  <c r="I46" i="5"/>
  <c r="I49" i="5" s="1"/>
  <c r="I255" i="1"/>
  <c r="J252" i="1" s="1"/>
  <c r="H30" i="1"/>
  <c r="H32" i="1" s="1"/>
  <c r="J257" i="2" l="1"/>
  <c r="J260" i="2" s="1"/>
  <c r="J30" i="2" s="1"/>
  <c r="J32" i="2" s="1"/>
  <c r="I30" i="2"/>
  <c r="I32" i="2" s="1"/>
  <c r="J255" i="1"/>
  <c r="J30" i="1" s="1"/>
  <c r="J32" i="1" s="1"/>
  <c r="I30" i="1"/>
  <c r="I32" i="1" s="1"/>
  <c r="F57" i="1" l="1"/>
  <c r="G23" i="1"/>
  <c r="H23" i="1"/>
  <c r="I23" i="1"/>
  <c r="J23" i="1"/>
  <c r="G24" i="1"/>
  <c r="H24" i="1" s="1"/>
  <c r="I24" i="1" s="1"/>
  <c r="J24" i="1" s="1"/>
  <c r="G56" i="1"/>
  <c r="H56" i="1"/>
  <c r="I56" i="1"/>
  <c r="J56" i="1"/>
  <c r="G57" i="1"/>
  <c r="H57" i="1" s="1"/>
  <c r="I57" i="1" s="1"/>
  <c r="J57" i="1" s="1"/>
  <c r="G58" i="1"/>
  <c r="H58" i="1"/>
  <c r="I58" i="1"/>
  <c r="J58" i="1"/>
  <c r="G64" i="1"/>
  <c r="H64" i="1"/>
  <c r="I64" i="1"/>
  <c r="J64" i="1"/>
  <c r="G65" i="1"/>
  <c r="H65" i="1"/>
  <c r="I65" i="1"/>
  <c r="J65" i="1"/>
  <c r="G70" i="1"/>
  <c r="H70" i="1"/>
  <c r="I70" i="1"/>
  <c r="J70" i="1"/>
  <c r="G72" i="1"/>
  <c r="H72" i="1"/>
  <c r="I72" i="1"/>
  <c r="J72" i="1"/>
  <c r="G202" i="1"/>
  <c r="H202" i="1"/>
  <c r="I202" i="1"/>
  <c r="J202" i="1"/>
  <c r="G204" i="1"/>
  <c r="H204" i="1"/>
  <c r="I204" i="1"/>
  <c r="J204" i="1"/>
  <c r="G205" i="1"/>
  <c r="H205" i="1"/>
  <c r="I205" i="1"/>
  <c r="J205" i="1"/>
  <c r="G209" i="1"/>
  <c r="H209" i="1"/>
  <c r="I209" i="1"/>
  <c r="J209" i="1"/>
  <c r="G212" i="1"/>
  <c r="H212" i="1"/>
  <c r="I212" i="1"/>
  <c r="J212" i="1"/>
  <c r="G214" i="1"/>
  <c r="H214" i="1"/>
  <c r="I214" i="1"/>
  <c r="J214" i="1"/>
  <c r="G215" i="1"/>
  <c r="H215" i="1"/>
  <c r="I215" i="1"/>
  <c r="J215" i="1"/>
  <c r="G216" i="1"/>
  <c r="H216" i="1"/>
  <c r="I216" i="1"/>
  <c r="J216" i="1"/>
  <c r="F204" i="1"/>
  <c r="E107" i="1"/>
  <c r="D107" i="1"/>
  <c r="E78" i="1" l="1"/>
  <c r="E79" i="1"/>
  <c r="E80" i="1"/>
  <c r="E81" i="1"/>
  <c r="E82" i="1"/>
  <c r="E244" i="1"/>
  <c r="D247" i="1"/>
  <c r="D244" i="1"/>
  <c r="F232" i="1"/>
  <c r="F234" i="1" s="1"/>
  <c r="E226" i="1"/>
  <c r="F224" i="1" s="1"/>
  <c r="D226" i="1"/>
  <c r="E247" i="1"/>
  <c r="F242" i="1"/>
  <c r="D118" i="1"/>
  <c r="E252" i="2"/>
  <c r="D252" i="2"/>
  <c r="E249" i="2"/>
  <c r="D249" i="2"/>
  <c r="F239" i="2"/>
  <c r="F237" i="2"/>
  <c r="E233" i="2"/>
  <c r="D233" i="2"/>
  <c r="E231" i="2"/>
  <c r="F229" i="2" s="1"/>
  <c r="D231" i="2"/>
  <c r="F247" i="2"/>
  <c r="F216" i="1"/>
  <c r="F215" i="1"/>
  <c r="F214" i="1"/>
  <c r="F212" i="1"/>
  <c r="F209" i="1"/>
  <c r="F202" i="1"/>
  <c r="E75" i="1"/>
  <c r="D75" i="1"/>
  <c r="F72" i="1"/>
  <c r="F70" i="1"/>
  <c r="F180" i="1"/>
  <c r="F23" i="1"/>
  <c r="J152" i="1"/>
  <c r="I152" i="1"/>
  <c r="H152" i="1"/>
  <c r="G152" i="1"/>
  <c r="F152" i="1"/>
  <c r="G190" i="1"/>
  <c r="G192" i="1"/>
  <c r="H190" i="1" s="1"/>
  <c r="H192" i="1" s="1"/>
  <c r="I190" i="1" s="1"/>
  <c r="I192" i="1" s="1"/>
  <c r="J190" i="1" s="1"/>
  <c r="J192" i="1" s="1"/>
  <c r="F190" i="1"/>
  <c r="E186" i="1"/>
  <c r="D186" i="1"/>
  <c r="E185" i="1"/>
  <c r="D185" i="1"/>
  <c r="E192" i="1"/>
  <c r="D192" i="1"/>
  <c r="E183" i="1"/>
  <c r="D183" i="1"/>
  <c r="G172" i="1"/>
  <c r="H172" i="1"/>
  <c r="I172" i="1"/>
  <c r="J172" i="1"/>
  <c r="F172" i="1"/>
  <c r="J175" i="1"/>
  <c r="I175" i="1"/>
  <c r="H175" i="1"/>
  <c r="G175" i="1"/>
  <c r="F175" i="1"/>
  <c r="G162" i="1"/>
  <c r="H162" i="1"/>
  <c r="I162" i="1"/>
  <c r="J162" i="1"/>
  <c r="F162" i="1"/>
  <c r="E168" i="1"/>
  <c r="D168" i="1"/>
  <c r="E167" i="1"/>
  <c r="D167" i="1"/>
  <c r="F161" i="1"/>
  <c r="F171" i="1"/>
  <c r="E173" i="1"/>
  <c r="D173" i="1"/>
  <c r="E164" i="1"/>
  <c r="D164" i="1"/>
  <c r="F192" i="1"/>
  <c r="G207" i="2"/>
  <c r="H207" i="2"/>
  <c r="I207" i="2"/>
  <c r="J207" i="2"/>
  <c r="G208" i="2"/>
  <c r="H208" i="2"/>
  <c r="I208" i="2"/>
  <c r="J208" i="2"/>
  <c r="G209" i="2"/>
  <c r="H209" i="2"/>
  <c r="I209" i="2"/>
  <c r="J209" i="2"/>
  <c r="G210" i="2"/>
  <c r="H210" i="2"/>
  <c r="I210" i="2"/>
  <c r="J210" i="2"/>
  <c r="G214" i="2"/>
  <c r="H214" i="2"/>
  <c r="I214" i="2"/>
  <c r="J214" i="2"/>
  <c r="G217" i="2"/>
  <c r="H217" i="2"/>
  <c r="I217" i="2"/>
  <c r="J217" i="2"/>
  <c r="G219" i="2"/>
  <c r="H219" i="2"/>
  <c r="I219" i="2"/>
  <c r="J219" i="2"/>
  <c r="G220" i="2"/>
  <c r="H220" i="2"/>
  <c r="I220" i="2"/>
  <c r="J220" i="2"/>
  <c r="G221" i="2"/>
  <c r="H221" i="2"/>
  <c r="I221" i="2"/>
  <c r="J221" i="2"/>
  <c r="G70" i="2"/>
  <c r="H70" i="2"/>
  <c r="I70" i="2"/>
  <c r="J70" i="2"/>
  <c r="G72" i="2"/>
  <c r="H72" i="2"/>
  <c r="I72" i="2"/>
  <c r="J72" i="2"/>
  <c r="G64" i="2"/>
  <c r="H64" i="2"/>
  <c r="I64" i="2"/>
  <c r="J64" i="2"/>
  <c r="G65" i="2"/>
  <c r="H65" i="2"/>
  <c r="I65" i="2"/>
  <c r="J65" i="2"/>
  <c r="G56" i="2"/>
  <c r="H56" i="2"/>
  <c r="I56" i="2"/>
  <c r="J56" i="2"/>
  <c r="G57" i="2"/>
  <c r="H57" i="2"/>
  <c r="I57" i="2"/>
  <c r="J57" i="2"/>
  <c r="G58" i="2"/>
  <c r="H58" i="2"/>
  <c r="I58" i="2"/>
  <c r="J58" i="2"/>
  <c r="F221" i="2"/>
  <c r="F220" i="2"/>
  <c r="G167" i="2"/>
  <c r="H167" i="2"/>
  <c r="I167" i="2"/>
  <c r="J167" i="2"/>
  <c r="F167" i="2"/>
  <c r="F219" i="2"/>
  <c r="F217" i="2"/>
  <c r="F214" i="2"/>
  <c r="F210" i="2"/>
  <c r="F209" i="2"/>
  <c r="F208" i="2"/>
  <c r="F207" i="2"/>
  <c r="E75" i="2"/>
  <c r="D75" i="2"/>
  <c r="F72" i="2"/>
  <c r="F70" i="2"/>
  <c r="F195" i="2"/>
  <c r="F197" i="2" s="1"/>
  <c r="G195" i="2" s="1"/>
  <c r="E191" i="2"/>
  <c r="D191" i="2"/>
  <c r="F185" i="2"/>
  <c r="E190" i="2"/>
  <c r="D190" i="2"/>
  <c r="E197" i="2"/>
  <c r="E188" i="2"/>
  <c r="D188" i="2"/>
  <c r="D197" i="2"/>
  <c r="J180" i="2"/>
  <c r="I180" i="2"/>
  <c r="H180" i="2"/>
  <c r="G180" i="2"/>
  <c r="F180" i="2"/>
  <c r="F177" i="2" s="1"/>
  <c r="F178" i="2" s="1"/>
  <c r="J177" i="2"/>
  <c r="G177" i="2"/>
  <c r="H177" i="2"/>
  <c r="I177" i="2"/>
  <c r="E173" i="2"/>
  <c r="D173" i="2"/>
  <c r="E172" i="2"/>
  <c r="D172" i="2"/>
  <c r="F176" i="2"/>
  <c r="E178" i="2"/>
  <c r="D178" i="2"/>
  <c r="F166" i="2"/>
  <c r="E169" i="2"/>
  <c r="D169" i="2"/>
  <c r="F64" i="2"/>
  <c r="F65" i="2"/>
  <c r="G154" i="2"/>
  <c r="H154" i="2"/>
  <c r="I154" i="2"/>
  <c r="J154" i="2"/>
  <c r="J157" i="2"/>
  <c r="I157" i="2"/>
  <c r="H157" i="2"/>
  <c r="G157" i="2"/>
  <c r="F157" i="2"/>
  <c r="F57" i="2"/>
  <c r="E147" i="2"/>
  <c r="F145" i="2" s="1"/>
  <c r="F147" i="2" s="1"/>
  <c r="G145" i="2" s="1"/>
  <c r="G147" i="2" s="1"/>
  <c r="H145" i="2" s="1"/>
  <c r="H147" i="2" s="1"/>
  <c r="I145" i="2" s="1"/>
  <c r="I147" i="2" s="1"/>
  <c r="J145" i="2" s="1"/>
  <c r="J147" i="2" s="1"/>
  <c r="D147" i="2"/>
  <c r="F14" i="2"/>
  <c r="J161" i="2"/>
  <c r="I161" i="2"/>
  <c r="H161" i="2"/>
  <c r="G161" i="2"/>
  <c r="F161" i="2"/>
  <c r="F154" i="2" s="1"/>
  <c r="J126" i="2"/>
  <c r="I126" i="2"/>
  <c r="H126" i="2"/>
  <c r="G126" i="2"/>
  <c r="F126" i="2"/>
  <c r="J125" i="2"/>
  <c r="I125" i="2"/>
  <c r="H125" i="2"/>
  <c r="G125" i="2"/>
  <c r="F125" i="2"/>
  <c r="E120" i="2"/>
  <c r="D120" i="2"/>
  <c r="E118" i="2"/>
  <c r="D118" i="2"/>
  <c r="J108" i="2"/>
  <c r="I108" i="2"/>
  <c r="H108" i="2"/>
  <c r="G108" i="2"/>
  <c r="F108" i="2"/>
  <c r="E105" i="2"/>
  <c r="E107" i="2" s="1"/>
  <c r="E108" i="2" s="1"/>
  <c r="E97" i="2"/>
  <c r="D97" i="2"/>
  <c r="J92" i="2"/>
  <c r="I92" i="2"/>
  <c r="H92" i="2"/>
  <c r="G92" i="2"/>
  <c r="F92" i="2"/>
  <c r="F58" i="1"/>
  <c r="F56" i="1"/>
  <c r="G124" i="1"/>
  <c r="H124" i="1"/>
  <c r="I124" i="1"/>
  <c r="G125" i="1"/>
  <c r="H125" i="1"/>
  <c r="I125" i="1"/>
  <c r="J125" i="1"/>
  <c r="G126" i="1"/>
  <c r="H126" i="1"/>
  <c r="I126" i="1"/>
  <c r="J126" i="1"/>
  <c r="G127" i="1"/>
  <c r="H127" i="1"/>
  <c r="I127" i="1"/>
  <c r="J124" i="1" s="1"/>
  <c r="J127" i="1" s="1"/>
  <c r="F127" i="1"/>
  <c r="F126" i="1"/>
  <c r="F125" i="1"/>
  <c r="F124" i="1"/>
  <c r="E127" i="1"/>
  <c r="D127" i="1"/>
  <c r="G156" i="1"/>
  <c r="G149" i="1" s="1"/>
  <c r="H156" i="1"/>
  <c r="H149" i="1" s="1"/>
  <c r="I156" i="1"/>
  <c r="I149" i="1" s="1"/>
  <c r="J156" i="1"/>
  <c r="J149" i="1" s="1"/>
  <c r="F156" i="1"/>
  <c r="F149" i="1" s="1"/>
  <c r="F205" i="1" s="1"/>
  <c r="E150" i="1"/>
  <c r="D150" i="1"/>
  <c r="F147" i="1"/>
  <c r="F142" i="1"/>
  <c r="G140" i="1" s="1"/>
  <c r="G142" i="1" s="1"/>
  <c r="H140" i="1" s="1"/>
  <c r="H142" i="1" s="1"/>
  <c r="I140" i="1" s="1"/>
  <c r="I142" i="1" s="1"/>
  <c r="J140" i="1" s="1"/>
  <c r="J142" i="1" s="1"/>
  <c r="F137" i="1"/>
  <c r="G135" i="1" s="1"/>
  <c r="G137" i="1" s="1"/>
  <c r="H135" i="1" s="1"/>
  <c r="H137" i="1" s="1"/>
  <c r="I135" i="1" s="1"/>
  <c r="I137" i="1" s="1"/>
  <c r="J135" i="1" s="1"/>
  <c r="J137" i="1" s="1"/>
  <c r="F140" i="1"/>
  <c r="F135" i="1"/>
  <c r="E137" i="1"/>
  <c r="E142" i="1"/>
  <c r="D142" i="1"/>
  <c r="D137" i="1"/>
  <c r="E120" i="1"/>
  <c r="D120" i="1"/>
  <c r="E118" i="1"/>
  <c r="E115" i="1"/>
  <c r="F112" i="1" s="1"/>
  <c r="D115" i="1"/>
  <c r="F108" i="1"/>
  <c r="G108" i="1"/>
  <c r="H108" i="1"/>
  <c r="I108" i="1"/>
  <c r="J108" i="1"/>
  <c r="E108" i="1"/>
  <c r="D108" i="1"/>
  <c r="E100" i="1"/>
  <c r="D100" i="1"/>
  <c r="E99" i="1"/>
  <c r="D99" i="1"/>
  <c r="F24" i="1"/>
  <c r="F14" i="1"/>
  <c r="E92" i="1"/>
  <c r="F92" i="1"/>
  <c r="G92" i="1"/>
  <c r="H92" i="1"/>
  <c r="I92" i="1"/>
  <c r="J92" i="1"/>
  <c r="D92" i="1"/>
  <c r="E91" i="1"/>
  <c r="D91" i="1"/>
  <c r="F103" i="1"/>
  <c r="F87" i="1"/>
  <c r="F95" i="1"/>
  <c r="E105" i="1"/>
  <c r="D105" i="1"/>
  <c r="D97" i="1"/>
  <c r="D89" i="1"/>
  <c r="E97" i="1"/>
  <c r="E89" i="1"/>
  <c r="D69" i="2"/>
  <c r="D73" i="2" s="1"/>
  <c r="E69" i="2"/>
  <c r="E73" i="2" s="1"/>
  <c r="D65" i="2"/>
  <c r="E65" i="2"/>
  <c r="E142" i="2" s="1"/>
  <c r="F140" i="2" s="1"/>
  <c r="F142" i="2" s="1"/>
  <c r="G140" i="2" s="1"/>
  <c r="G142" i="2" s="1"/>
  <c r="H140" i="2" s="1"/>
  <c r="H142" i="2" s="1"/>
  <c r="I140" i="2" s="1"/>
  <c r="I142" i="2" s="1"/>
  <c r="J140" i="2" s="1"/>
  <c r="J142" i="2" s="1"/>
  <c r="D62" i="2"/>
  <c r="D105" i="2" s="1"/>
  <c r="D107" i="2" s="1"/>
  <c r="D108" i="2" s="1"/>
  <c r="E64" i="2"/>
  <c r="E155" i="2" s="1"/>
  <c r="F152" i="2" s="1"/>
  <c r="D64" i="2"/>
  <c r="D155" i="2" s="1"/>
  <c r="D58" i="2"/>
  <c r="D137" i="2" s="1"/>
  <c r="E58" i="2"/>
  <c r="E137" i="2" s="1"/>
  <c r="F135" i="2" s="1"/>
  <c r="F137" i="2" s="1"/>
  <c r="E56" i="2"/>
  <c r="E127" i="2" s="1"/>
  <c r="F124" i="2" s="1"/>
  <c r="D56" i="2"/>
  <c r="D127" i="2" s="1"/>
  <c r="E55" i="2"/>
  <c r="E115" i="2" s="1"/>
  <c r="F112" i="2" s="1"/>
  <c r="D55" i="2"/>
  <c r="D115" i="2" s="1"/>
  <c r="E53" i="2"/>
  <c r="E89" i="2" s="1"/>
  <c r="F87" i="2" s="1"/>
  <c r="D53" i="2"/>
  <c r="D89" i="2" s="1"/>
  <c r="D91" i="2" s="1"/>
  <c r="D92" i="2" s="1"/>
  <c r="E40" i="2"/>
  <c r="D40" i="2"/>
  <c r="C40" i="2"/>
  <c r="E38" i="2"/>
  <c r="D38" i="2"/>
  <c r="C24" i="2"/>
  <c r="E24" i="2"/>
  <c r="D24" i="2"/>
  <c r="E27" i="2"/>
  <c r="D27" i="2"/>
  <c r="C27" i="2"/>
  <c r="E15" i="2"/>
  <c r="E16" i="2" s="1"/>
  <c r="E39" i="2" s="1"/>
  <c r="D15" i="2"/>
  <c r="D16" i="2" s="1"/>
  <c r="D39" i="2" s="1"/>
  <c r="C15" i="2"/>
  <c r="C16" i="2" s="1"/>
  <c r="C39" i="2" s="1"/>
  <c r="E19" i="2"/>
  <c r="E41" i="2" s="1"/>
  <c r="D19" i="2"/>
  <c r="D41" i="2" s="1"/>
  <c r="C19" i="2"/>
  <c r="C41" i="2" s="1"/>
  <c r="B2" i="2"/>
  <c r="D82" i="1"/>
  <c r="D80" i="1"/>
  <c r="D78" i="1"/>
  <c r="E69" i="1"/>
  <c r="D69" i="1"/>
  <c r="E65" i="1"/>
  <c r="D65" i="1"/>
  <c r="E62" i="1"/>
  <c r="D62" i="1"/>
  <c r="E58" i="1"/>
  <c r="E59" i="1" s="1"/>
  <c r="D58" i="1"/>
  <c r="E73" i="1"/>
  <c r="D73" i="1"/>
  <c r="D66" i="1"/>
  <c r="D59" i="1"/>
  <c r="D79" i="1" s="1"/>
  <c r="E41" i="1"/>
  <c r="D41" i="1"/>
  <c r="E40" i="1"/>
  <c r="D40" i="1"/>
  <c r="C40" i="1"/>
  <c r="E38" i="1"/>
  <c r="D38" i="1"/>
  <c r="D31" i="1"/>
  <c r="E31" i="1"/>
  <c r="C31" i="1"/>
  <c r="D22" i="1"/>
  <c r="E19" i="1"/>
  <c r="D19" i="1"/>
  <c r="C19" i="1"/>
  <c r="C41" i="1" s="1"/>
  <c r="E16" i="1"/>
  <c r="E20" i="1" s="1"/>
  <c r="E47" i="1" s="1"/>
  <c r="D16" i="1"/>
  <c r="D39" i="1" s="1"/>
  <c r="C16" i="1"/>
  <c r="C39" i="1" s="1"/>
  <c r="B2" i="1"/>
  <c r="F18" i="1" l="1"/>
  <c r="D12" i="8"/>
  <c r="D23" i="8" s="1"/>
  <c r="F89" i="2"/>
  <c r="F53" i="2" s="1"/>
  <c r="C12" i="8"/>
  <c r="C23" i="8" s="1"/>
  <c r="F16" i="1"/>
  <c r="F15" i="1" s="1"/>
  <c r="F89" i="1"/>
  <c r="G87" i="1" s="1"/>
  <c r="G14" i="1"/>
  <c r="F19" i="1"/>
  <c r="F117" i="1"/>
  <c r="F150" i="1"/>
  <c r="F65" i="1"/>
  <c r="F231" i="2"/>
  <c r="G229" i="2" s="1"/>
  <c r="F173" i="1"/>
  <c r="G171" i="1" s="1"/>
  <c r="G173" i="1"/>
  <c r="G197" i="2"/>
  <c r="G176" i="2"/>
  <c r="G178" i="2" s="1"/>
  <c r="H176" i="2" s="1"/>
  <c r="H178" i="2" s="1"/>
  <c r="F155" i="2"/>
  <c r="G152" i="2" s="1"/>
  <c r="G155" i="2" s="1"/>
  <c r="H152" i="2" s="1"/>
  <c r="H155" i="2" s="1"/>
  <c r="I152" i="2" s="1"/>
  <c r="I155" i="2" s="1"/>
  <c r="J152" i="2" s="1"/>
  <c r="J155" i="2" s="1"/>
  <c r="F117" i="2"/>
  <c r="F113" i="2" s="1"/>
  <c r="F105" i="2"/>
  <c r="G103" i="2" s="1"/>
  <c r="D66" i="2"/>
  <c r="F127" i="2"/>
  <c r="F56" i="2" s="1"/>
  <c r="F16" i="2"/>
  <c r="F15" i="2" s="1"/>
  <c r="F97" i="2" s="1"/>
  <c r="F18" i="2"/>
  <c r="G135" i="2"/>
  <c r="G137" i="2" s="1"/>
  <c r="H135" i="2" s="1"/>
  <c r="H137" i="2" s="1"/>
  <c r="I135" i="2" s="1"/>
  <c r="I137" i="2" s="1"/>
  <c r="J135" i="2" s="1"/>
  <c r="J137" i="2" s="1"/>
  <c r="F58" i="2"/>
  <c r="D99" i="2"/>
  <c r="D142" i="2"/>
  <c r="D78" i="2"/>
  <c r="E100" i="2"/>
  <c r="G14" i="2"/>
  <c r="G105" i="2" s="1"/>
  <c r="D100" i="2"/>
  <c r="E99" i="2"/>
  <c r="F19" i="2"/>
  <c r="E91" i="2"/>
  <c r="E92" i="2" s="1"/>
  <c r="F95" i="2"/>
  <c r="F103" i="2"/>
  <c r="G147" i="1"/>
  <c r="G150" i="1" s="1"/>
  <c r="E66" i="2"/>
  <c r="E78" i="2"/>
  <c r="E59" i="2"/>
  <c r="E79" i="2" s="1"/>
  <c r="D59" i="2"/>
  <c r="D79" i="2" s="1"/>
  <c r="D81" i="1"/>
  <c r="C20" i="2"/>
  <c r="C25" i="2" s="1"/>
  <c r="C42" i="2" s="1"/>
  <c r="E20" i="2"/>
  <c r="E47" i="2" s="1"/>
  <c r="D20" i="2"/>
  <c r="D25" i="2" s="1"/>
  <c r="D42" i="2" s="1"/>
  <c r="E66" i="1"/>
  <c r="E39" i="1"/>
  <c r="C20" i="1"/>
  <c r="D20" i="1"/>
  <c r="E25" i="1"/>
  <c r="E42" i="1" s="1"/>
  <c r="E12" i="8" l="1"/>
  <c r="E23" i="8" s="1"/>
  <c r="G87" i="2"/>
  <c r="F88" i="2"/>
  <c r="F204" i="2" s="1"/>
  <c r="F19" i="4" s="1"/>
  <c r="F172" i="2"/>
  <c r="F168" i="2" s="1"/>
  <c r="F169" i="2" s="1"/>
  <c r="F119" i="2"/>
  <c r="F213" i="2"/>
  <c r="F88" i="1"/>
  <c r="F199" i="1" s="1"/>
  <c r="F19" i="3" s="1"/>
  <c r="F62" i="2"/>
  <c r="F66" i="2" s="1"/>
  <c r="H103" i="2"/>
  <c r="G62" i="2"/>
  <c r="G66" i="2" s="1"/>
  <c r="F167" i="1"/>
  <c r="F163" i="1" s="1"/>
  <c r="F164" i="1" s="1"/>
  <c r="F53" i="1"/>
  <c r="F105" i="1"/>
  <c r="G103" i="1" s="1"/>
  <c r="F97" i="1"/>
  <c r="F100" i="1" s="1"/>
  <c r="F119" i="1"/>
  <c r="F208" i="1"/>
  <c r="F113" i="1"/>
  <c r="H14" i="1"/>
  <c r="G19" i="1"/>
  <c r="G16" i="1"/>
  <c r="G15" i="1" s="1"/>
  <c r="G18" i="1"/>
  <c r="G89" i="1"/>
  <c r="G117" i="1"/>
  <c r="H147" i="1"/>
  <c r="H150" i="1" s="1"/>
  <c r="H153" i="1"/>
  <c r="F153" i="1"/>
  <c r="F64" i="1"/>
  <c r="G153" i="1"/>
  <c r="F244" i="2"/>
  <c r="F234" i="2"/>
  <c r="G231" i="2"/>
  <c r="G244" i="2" s="1"/>
  <c r="H171" i="1"/>
  <c r="H173" i="1" s="1"/>
  <c r="H195" i="2"/>
  <c r="H197" i="2" s="1"/>
  <c r="I178" i="2"/>
  <c r="J176" i="2" s="1"/>
  <c r="J178" i="2" s="1"/>
  <c r="I176" i="2"/>
  <c r="F158" i="2"/>
  <c r="G158" i="2"/>
  <c r="J158" i="2"/>
  <c r="H158" i="2"/>
  <c r="I158" i="2"/>
  <c r="G19" i="2"/>
  <c r="G16" i="2"/>
  <c r="G15" i="2" s="1"/>
  <c r="G97" i="2" s="1"/>
  <c r="G89" i="2"/>
  <c r="G18" i="2"/>
  <c r="G104" i="2"/>
  <c r="G206" i="2" s="1"/>
  <c r="G21" i="4" s="1"/>
  <c r="F104" i="2"/>
  <c r="F206" i="2" s="1"/>
  <c r="F21" i="4" s="1"/>
  <c r="G124" i="2"/>
  <c r="G127" i="2" s="1"/>
  <c r="H124" i="2" s="1"/>
  <c r="H127" i="2" s="1"/>
  <c r="I124" i="2" s="1"/>
  <c r="I127" i="2" s="1"/>
  <c r="J124" i="2" s="1"/>
  <c r="J127" i="2" s="1"/>
  <c r="H14" i="2"/>
  <c r="H117" i="2" s="1"/>
  <c r="H213" i="2" s="1"/>
  <c r="G117" i="2"/>
  <c r="F20" i="2"/>
  <c r="G95" i="2"/>
  <c r="F54" i="2"/>
  <c r="F233" i="2" s="1"/>
  <c r="F96" i="2"/>
  <c r="F205" i="2" s="1"/>
  <c r="F20" i="4" s="1"/>
  <c r="F100" i="2"/>
  <c r="I147" i="1"/>
  <c r="I150" i="1" s="1"/>
  <c r="C47" i="2"/>
  <c r="D47" i="2"/>
  <c r="E25" i="2"/>
  <c r="D28" i="2"/>
  <c r="C28" i="2"/>
  <c r="D47" i="1"/>
  <c r="D25" i="1"/>
  <c r="D42" i="1" s="1"/>
  <c r="C25" i="1"/>
  <c r="C42" i="1" s="1"/>
  <c r="C47" i="1"/>
  <c r="E28" i="1"/>
  <c r="C17" i="8" l="1"/>
  <c r="D29" i="8" s="1"/>
  <c r="D30" i="8" s="1"/>
  <c r="D32" i="8" s="1"/>
  <c r="D34" i="8" s="1"/>
  <c r="D17" i="8"/>
  <c r="E17" i="8"/>
  <c r="G88" i="2"/>
  <c r="G204" i="2" s="1"/>
  <c r="G19" i="4" s="1"/>
  <c r="F203" i="2"/>
  <c r="F18" i="4" s="1"/>
  <c r="F46" i="2"/>
  <c r="G172" i="2"/>
  <c r="G168" i="2" s="1"/>
  <c r="F13" i="4"/>
  <c r="F15" i="4" s="1"/>
  <c r="H87" i="2"/>
  <c r="G53" i="2"/>
  <c r="F198" i="1"/>
  <c r="F18" i="3" s="1"/>
  <c r="G100" i="2"/>
  <c r="G54" i="2"/>
  <c r="F46" i="1"/>
  <c r="F69" i="2"/>
  <c r="G166" i="2"/>
  <c r="G119" i="2"/>
  <c r="G213" i="2"/>
  <c r="H28" i="4"/>
  <c r="H215" i="2"/>
  <c r="G20" i="2"/>
  <c r="G13" i="4" s="1"/>
  <c r="G15" i="4" s="1"/>
  <c r="F28" i="4"/>
  <c r="F215" i="2"/>
  <c r="F114" i="2"/>
  <c r="F115" i="2" s="1"/>
  <c r="F45" i="2"/>
  <c r="F202" i="2" s="1"/>
  <c r="F17" i="4" s="1"/>
  <c r="F62" i="1"/>
  <c r="G105" i="1"/>
  <c r="G97" i="1"/>
  <c r="G100" i="1" s="1"/>
  <c r="F210" i="1"/>
  <c r="F28" i="3"/>
  <c r="G20" i="1"/>
  <c r="G13" i="3" s="1"/>
  <c r="G15" i="3" s="1"/>
  <c r="G167" i="1"/>
  <c r="F54" i="1"/>
  <c r="F228" i="1" s="1"/>
  <c r="G95" i="1"/>
  <c r="F96" i="1"/>
  <c r="F200" i="1" s="1"/>
  <c r="F20" i="3" s="1"/>
  <c r="G208" i="1"/>
  <c r="G113" i="1"/>
  <c r="G119" i="1"/>
  <c r="G88" i="1"/>
  <c r="G199" i="1" s="1"/>
  <c r="G19" i="3" s="1"/>
  <c r="H87" i="1"/>
  <c r="G53" i="1"/>
  <c r="F104" i="1"/>
  <c r="F201" i="1" s="1"/>
  <c r="F21" i="3" s="1"/>
  <c r="F45" i="1"/>
  <c r="F197" i="1" s="1"/>
  <c r="F17" i="3" s="1"/>
  <c r="F114" i="1"/>
  <c r="F115" i="1" s="1"/>
  <c r="H16" i="1"/>
  <c r="H15" i="1" s="1"/>
  <c r="H19" i="1"/>
  <c r="I14" i="1"/>
  <c r="H18" i="1"/>
  <c r="H117" i="1"/>
  <c r="H89" i="1"/>
  <c r="G161" i="1"/>
  <c r="F69" i="1"/>
  <c r="I153" i="1"/>
  <c r="H229" i="2"/>
  <c r="I171" i="1"/>
  <c r="I173" i="1" s="1"/>
  <c r="I195" i="2"/>
  <c r="I197" i="2" s="1"/>
  <c r="G96" i="2"/>
  <c r="G205" i="2" s="1"/>
  <c r="G20" i="4" s="1"/>
  <c r="H95" i="2"/>
  <c r="H19" i="2"/>
  <c r="H18" i="2"/>
  <c r="H16" i="2"/>
  <c r="H15" i="2" s="1"/>
  <c r="H97" i="2" s="1"/>
  <c r="H89" i="2"/>
  <c r="H105" i="2"/>
  <c r="I103" i="2" s="1"/>
  <c r="I14" i="2"/>
  <c r="J14" i="2" s="1"/>
  <c r="G113" i="2"/>
  <c r="E28" i="2"/>
  <c r="E80" i="2" s="1"/>
  <c r="E42" i="2"/>
  <c r="H119" i="2"/>
  <c r="H113" i="2"/>
  <c r="J147" i="1"/>
  <c r="J150" i="1" s="1"/>
  <c r="D82" i="2"/>
  <c r="D81" i="2"/>
  <c r="D80" i="2"/>
  <c r="E34" i="1"/>
  <c r="E35" i="1"/>
  <c r="D28" i="1"/>
  <c r="C28" i="1"/>
  <c r="D36" i="8" l="1"/>
  <c r="E49" i="8"/>
  <c r="G46" i="2"/>
  <c r="G203" i="2"/>
  <c r="G18" i="4" s="1"/>
  <c r="H20" i="2"/>
  <c r="H13" i="4" s="1"/>
  <c r="H15" i="4" s="1"/>
  <c r="H104" i="2"/>
  <c r="H206" i="2" s="1"/>
  <c r="H21" i="4" s="1"/>
  <c r="H62" i="2"/>
  <c r="H66" i="2" s="1"/>
  <c r="I87" i="2"/>
  <c r="H53" i="2"/>
  <c r="G112" i="2"/>
  <c r="F55" i="2"/>
  <c r="I95" i="2"/>
  <c r="H54" i="2"/>
  <c r="G28" i="4"/>
  <c r="G215" i="2"/>
  <c r="G233" i="2"/>
  <c r="G234" i="2" s="1"/>
  <c r="H172" i="2"/>
  <c r="G114" i="2"/>
  <c r="G45" i="2"/>
  <c r="G202" i="2" s="1"/>
  <c r="G17" i="4" s="1"/>
  <c r="H114" i="2"/>
  <c r="H45" i="2"/>
  <c r="H202" i="2" s="1"/>
  <c r="H17" i="4" s="1"/>
  <c r="G169" i="2"/>
  <c r="F26" i="4"/>
  <c r="F30" i="4" s="1"/>
  <c r="F35" i="4" s="1"/>
  <c r="F47" i="2"/>
  <c r="G112" i="1"/>
  <c r="F55" i="1"/>
  <c r="G163" i="1"/>
  <c r="G164" i="1" s="1"/>
  <c r="G46" i="1"/>
  <c r="G198" i="1"/>
  <c r="G18" i="3" s="1"/>
  <c r="G45" i="1"/>
  <c r="G197" i="1" s="1"/>
  <c r="G17" i="3" s="1"/>
  <c r="G114" i="1"/>
  <c r="G210" i="1"/>
  <c r="G28" i="3"/>
  <c r="G54" i="1"/>
  <c r="G228" i="1" s="1"/>
  <c r="H95" i="1"/>
  <c r="G96" i="1"/>
  <c r="G200" i="1" s="1"/>
  <c r="G20" i="3" s="1"/>
  <c r="G62" i="1"/>
  <c r="H103" i="1"/>
  <c r="H105" i="1"/>
  <c r="H97" i="1"/>
  <c r="H100" i="1" s="1"/>
  <c r="J14" i="1"/>
  <c r="I16" i="1"/>
  <c r="I15" i="1" s="1"/>
  <c r="I19" i="1"/>
  <c r="I18" i="1"/>
  <c r="I117" i="1"/>
  <c r="I89" i="1"/>
  <c r="H53" i="1"/>
  <c r="I87" i="1"/>
  <c r="H88" i="1"/>
  <c r="H199" i="1" s="1"/>
  <c r="H19" i="3" s="1"/>
  <c r="H208" i="1"/>
  <c r="H113" i="1"/>
  <c r="H119" i="1"/>
  <c r="H20" i="1"/>
  <c r="H13" i="3" s="1"/>
  <c r="H15" i="3" s="1"/>
  <c r="H167" i="1"/>
  <c r="G104" i="1"/>
  <c r="G201" i="1" s="1"/>
  <c r="G21" i="3" s="1"/>
  <c r="J153" i="1"/>
  <c r="H231" i="2"/>
  <c r="J171" i="1"/>
  <c r="J173" i="1" s="1"/>
  <c r="J195" i="2"/>
  <c r="J197" i="2" s="1"/>
  <c r="H88" i="2"/>
  <c r="H204" i="2" s="1"/>
  <c r="H19" i="4" s="1"/>
  <c r="I89" i="2"/>
  <c r="I53" i="2" s="1"/>
  <c r="I105" i="2"/>
  <c r="I62" i="2" s="1"/>
  <c r="I66" i="2" s="1"/>
  <c r="I19" i="2"/>
  <c r="I18" i="2"/>
  <c r="I16" i="2"/>
  <c r="I15" i="2" s="1"/>
  <c r="I97" i="2" s="1"/>
  <c r="I54" i="2" s="1"/>
  <c r="I117" i="2"/>
  <c r="D31" i="2"/>
  <c r="C31" i="2"/>
  <c r="E82" i="2"/>
  <c r="E81" i="2"/>
  <c r="H96" i="2"/>
  <c r="H205" i="2" s="1"/>
  <c r="H20" i="4" s="1"/>
  <c r="H100" i="2"/>
  <c r="J18" i="2"/>
  <c r="J16" i="2"/>
  <c r="J15" i="2" s="1"/>
  <c r="J19" i="2"/>
  <c r="J105" i="2"/>
  <c r="J62" i="2" s="1"/>
  <c r="J66" i="2" s="1"/>
  <c r="J117" i="2"/>
  <c r="J213" i="2" s="1"/>
  <c r="J89" i="2"/>
  <c r="J53" i="2" s="1"/>
  <c r="C35" i="1"/>
  <c r="C34" i="1"/>
  <c r="D34" i="1"/>
  <c r="D35" i="1"/>
  <c r="F12" i="4" l="1"/>
  <c r="C13" i="8"/>
  <c r="C24" i="8" s="1"/>
  <c r="G26" i="4"/>
  <c r="G30" i="4" s="1"/>
  <c r="I104" i="2"/>
  <c r="I206" i="2" s="1"/>
  <c r="I21" i="4" s="1"/>
  <c r="H233" i="2"/>
  <c r="H234" i="2" s="1"/>
  <c r="G115" i="2"/>
  <c r="H112" i="2" s="1"/>
  <c r="H115" i="2" s="1"/>
  <c r="I233" i="2"/>
  <c r="G47" i="2"/>
  <c r="G12" i="4" s="1"/>
  <c r="J28" i="4"/>
  <c r="J215" i="2"/>
  <c r="I20" i="2"/>
  <c r="I13" i="4" s="1"/>
  <c r="I15" i="4" s="1"/>
  <c r="I172" i="2"/>
  <c r="H203" i="2"/>
  <c r="H18" i="4" s="1"/>
  <c r="H26" i="4" s="1"/>
  <c r="H30" i="4" s="1"/>
  <c r="H46" i="2"/>
  <c r="H47" i="2" s="1"/>
  <c r="H12" i="4" s="1"/>
  <c r="H168" i="2"/>
  <c r="J103" i="2"/>
  <c r="J104" i="2" s="1"/>
  <c r="J206" i="2" s="1"/>
  <c r="J21" i="4" s="1"/>
  <c r="G69" i="2"/>
  <c r="H166" i="2"/>
  <c r="J172" i="2"/>
  <c r="J87" i="2"/>
  <c r="J88" i="2" s="1"/>
  <c r="J204" i="2" s="1"/>
  <c r="J19" i="4" s="1"/>
  <c r="I88" i="2"/>
  <c r="I204" i="2" s="1"/>
  <c r="I19" i="4" s="1"/>
  <c r="I113" i="2"/>
  <c r="I213" i="2"/>
  <c r="G26" i="3"/>
  <c r="G30" i="3" s="1"/>
  <c r="G35" i="3" s="1"/>
  <c r="I88" i="1"/>
  <c r="I199" i="1" s="1"/>
  <c r="I19" i="3" s="1"/>
  <c r="H62" i="1"/>
  <c r="I103" i="1"/>
  <c r="I20" i="1"/>
  <c r="I13" i="3" s="1"/>
  <c r="I15" i="3" s="1"/>
  <c r="I167" i="1"/>
  <c r="I208" i="1"/>
  <c r="I119" i="1"/>
  <c r="I113" i="1"/>
  <c r="I105" i="1"/>
  <c r="I97" i="1"/>
  <c r="I100" i="1" s="1"/>
  <c r="H210" i="1"/>
  <c r="H28" i="3"/>
  <c r="H104" i="1"/>
  <c r="H201" i="1" s="1"/>
  <c r="H21" i="3" s="1"/>
  <c r="J19" i="1"/>
  <c r="J18" i="1"/>
  <c r="J16" i="1"/>
  <c r="J15" i="1" s="1"/>
  <c r="J117" i="1"/>
  <c r="J89" i="1"/>
  <c r="J53" i="1" s="1"/>
  <c r="G69" i="1"/>
  <c r="H161" i="1"/>
  <c r="H45" i="1"/>
  <c r="H197" i="1" s="1"/>
  <c r="H17" i="3" s="1"/>
  <c r="H114" i="1"/>
  <c r="H198" i="1"/>
  <c r="H18" i="3" s="1"/>
  <c r="H163" i="1"/>
  <c r="H46" i="1"/>
  <c r="I53" i="1"/>
  <c r="J87" i="1"/>
  <c r="H54" i="1"/>
  <c r="H228" i="1" s="1"/>
  <c r="I95" i="1"/>
  <c r="H96" i="1"/>
  <c r="H200" i="1" s="1"/>
  <c r="H20" i="3" s="1"/>
  <c r="G115" i="1"/>
  <c r="I229" i="2"/>
  <c r="H244" i="2"/>
  <c r="I119" i="2"/>
  <c r="E31" i="2"/>
  <c r="J20" i="2"/>
  <c r="J95" i="2"/>
  <c r="I96" i="2"/>
  <c r="I205" i="2" s="1"/>
  <c r="I20" i="4" s="1"/>
  <c r="J97" i="2"/>
  <c r="I100" i="2"/>
  <c r="J113" i="2"/>
  <c r="J119" i="2"/>
  <c r="G55" i="2" l="1"/>
  <c r="H164" i="1"/>
  <c r="H69" i="1" s="1"/>
  <c r="J88" i="1"/>
  <c r="J199" i="1" s="1"/>
  <c r="J19" i="3" s="1"/>
  <c r="H35" i="4"/>
  <c r="H32" i="4"/>
  <c r="I203" i="2"/>
  <c r="I18" i="4" s="1"/>
  <c r="I46" i="2"/>
  <c r="I168" i="2"/>
  <c r="J203" i="2"/>
  <c r="J18" i="4" s="1"/>
  <c r="J46" i="2"/>
  <c r="J168" i="2"/>
  <c r="H26" i="3"/>
  <c r="H30" i="3" s="1"/>
  <c r="H32" i="3" s="1"/>
  <c r="J114" i="2"/>
  <c r="J45" i="2"/>
  <c r="J202" i="2" s="1"/>
  <c r="J17" i="4" s="1"/>
  <c r="I28" i="4"/>
  <c r="I215" i="2"/>
  <c r="H169" i="2"/>
  <c r="J13" i="4"/>
  <c r="J15" i="4" s="1"/>
  <c r="I114" i="2"/>
  <c r="I45" i="2"/>
  <c r="G32" i="4"/>
  <c r="G35" i="4"/>
  <c r="J100" i="2"/>
  <c r="J54" i="2"/>
  <c r="J233" i="2" s="1"/>
  <c r="I112" i="2"/>
  <c r="H55" i="2"/>
  <c r="I45" i="1"/>
  <c r="I197" i="1" s="1"/>
  <c r="I17" i="3" s="1"/>
  <c r="I114" i="1"/>
  <c r="I210" i="1"/>
  <c r="I28" i="3"/>
  <c r="I198" i="1"/>
  <c r="I18" i="3" s="1"/>
  <c r="I163" i="1"/>
  <c r="I46" i="1"/>
  <c r="J208" i="1"/>
  <c r="J119" i="1"/>
  <c r="J113" i="1"/>
  <c r="I54" i="1"/>
  <c r="I228" i="1" s="1"/>
  <c r="J95" i="1"/>
  <c r="J105" i="1"/>
  <c r="J97" i="1"/>
  <c r="J100" i="1" s="1"/>
  <c r="I62" i="1"/>
  <c r="I104" i="1"/>
  <c r="I201" i="1" s="1"/>
  <c r="I21" i="3" s="1"/>
  <c r="J103" i="1"/>
  <c r="H112" i="1"/>
  <c r="H115" i="1" s="1"/>
  <c r="G55" i="1"/>
  <c r="J20" i="1"/>
  <c r="J13" i="3" s="1"/>
  <c r="J15" i="3" s="1"/>
  <c r="J167" i="1"/>
  <c r="I96" i="1"/>
  <c r="I200" i="1" s="1"/>
  <c r="I20" i="3" s="1"/>
  <c r="I231" i="2"/>
  <c r="J96" i="2"/>
  <c r="J205" i="2" s="1"/>
  <c r="J20" i="4" s="1"/>
  <c r="H35" i="3" l="1"/>
  <c r="I161" i="1"/>
  <c r="I164" i="1" s="1"/>
  <c r="J47" i="2"/>
  <c r="J12" i="4" s="1"/>
  <c r="H40" i="4" s="1"/>
  <c r="H42" i="4" s="1"/>
  <c r="H43" i="4" s="1"/>
  <c r="I166" i="2"/>
  <c r="I169" i="2" s="1"/>
  <c r="H69" i="2"/>
  <c r="I202" i="2"/>
  <c r="I17" i="4" s="1"/>
  <c r="I26" i="4" s="1"/>
  <c r="I30" i="4" s="1"/>
  <c r="I47" i="2"/>
  <c r="I12" i="4" s="1"/>
  <c r="I115" i="2"/>
  <c r="J26" i="4"/>
  <c r="J30" i="4" s="1"/>
  <c r="I26" i="3"/>
  <c r="I30" i="3" s="1"/>
  <c r="I32" i="3" s="1"/>
  <c r="J198" i="1"/>
  <c r="J18" i="3" s="1"/>
  <c r="J163" i="1"/>
  <c r="J46" i="1"/>
  <c r="J45" i="1"/>
  <c r="J197" i="1" s="1"/>
  <c r="J17" i="3" s="1"/>
  <c r="J114" i="1"/>
  <c r="J210" i="1"/>
  <c r="J28" i="3"/>
  <c r="J54" i="1"/>
  <c r="J228" i="1" s="1"/>
  <c r="J96" i="1"/>
  <c r="J200" i="1" s="1"/>
  <c r="J20" i="3" s="1"/>
  <c r="J62" i="1"/>
  <c r="J104" i="1"/>
  <c r="J201" i="1" s="1"/>
  <c r="J21" i="3" s="1"/>
  <c r="I112" i="1"/>
  <c r="I115" i="1" s="1"/>
  <c r="H55" i="1"/>
  <c r="I234" i="2"/>
  <c r="J229" i="2"/>
  <c r="I244" i="2"/>
  <c r="J26" i="3" l="1"/>
  <c r="J30" i="3" s="1"/>
  <c r="I32" i="4"/>
  <c r="I35" i="4"/>
  <c r="J112" i="2"/>
  <c r="J115" i="2" s="1"/>
  <c r="J55" i="2" s="1"/>
  <c r="I55" i="2"/>
  <c r="J32" i="4"/>
  <c r="C40" i="4"/>
  <c r="C41" i="4" s="1"/>
  <c r="C43" i="4" s="1"/>
  <c r="J35" i="4"/>
  <c r="H46" i="4"/>
  <c r="J166" i="2"/>
  <c r="J169" i="2" s="1"/>
  <c r="J69" i="2" s="1"/>
  <c r="I69" i="2"/>
  <c r="I35" i="3"/>
  <c r="I55" i="1"/>
  <c r="J112" i="1"/>
  <c r="J115" i="1" s="1"/>
  <c r="J55" i="1" s="1"/>
  <c r="I69" i="1"/>
  <c r="J161" i="1"/>
  <c r="J164" i="1" s="1"/>
  <c r="J69" i="1" s="1"/>
  <c r="J231" i="2"/>
  <c r="J234" i="2" s="1"/>
  <c r="J32" i="3" l="1"/>
  <c r="C40" i="3"/>
  <c r="C41" i="3" s="1"/>
  <c r="C43" i="3" s="1"/>
  <c r="C47" i="3" s="1"/>
  <c r="J35" i="3"/>
  <c r="C47" i="4"/>
  <c r="C44" i="4"/>
  <c r="C45" i="4"/>
  <c r="H44" i="4"/>
  <c r="H45" i="4" s="1"/>
  <c r="D69" i="4" s="1"/>
  <c r="D72" i="4" s="1"/>
  <c r="J244" i="2"/>
  <c r="D75" i="4" l="1"/>
  <c r="D76" i="4" s="1"/>
  <c r="C44" i="3"/>
  <c r="C46" i="4"/>
  <c r="C69" i="4" s="1"/>
  <c r="C72" i="4" s="1"/>
  <c r="C75" i="4" s="1"/>
  <c r="C76" i="4" s="1"/>
  <c r="F20" i="1"/>
  <c r="F13" i="3" s="1"/>
  <c r="F15" i="3" s="1"/>
  <c r="F26" i="3" s="1"/>
  <c r="F30" i="3" l="1"/>
  <c r="G32" i="3" s="1"/>
  <c r="G47" i="1"/>
  <c r="G12" i="3" s="1"/>
  <c r="F47" i="1"/>
  <c r="J47" i="1"/>
  <c r="J12" i="3" s="1"/>
  <c r="H40" i="3" s="1"/>
  <c r="H42" i="3" s="1"/>
  <c r="F12" i="3" l="1"/>
  <c r="D13" i="8"/>
  <c r="D24" i="8" s="1"/>
  <c r="H43" i="3"/>
  <c r="H46" i="3"/>
  <c r="F35" i="3"/>
  <c r="H47" i="1"/>
  <c r="H12" i="3" s="1"/>
  <c r="E13" i="8" l="1"/>
  <c r="C45" i="3"/>
  <c r="C46" i="3" s="1"/>
  <c r="C69" i="3" s="1"/>
  <c r="C72" i="3" s="1"/>
  <c r="C75" i="3" s="1"/>
  <c r="C76" i="3" s="1"/>
  <c r="H44" i="3"/>
  <c r="H45" i="3" s="1"/>
  <c r="D69" i="3" s="1"/>
  <c r="D72" i="3" s="1"/>
  <c r="D75" i="3" s="1"/>
  <c r="D76" i="3" s="1"/>
  <c r="I47" i="1"/>
  <c r="I12" i="3" s="1"/>
  <c r="D18" i="8" l="1"/>
  <c r="E24" i="8"/>
  <c r="C18" i="8"/>
  <c r="E29" i="8" s="1"/>
  <c r="E30" i="8" s="1"/>
  <c r="E32" i="8" s="1"/>
  <c r="E34" i="8" s="1"/>
  <c r="E18" i="8"/>
  <c r="E36" i="8" l="1"/>
  <c r="E50" i="8"/>
  <c r="C14" i="8"/>
  <c r="D14" i="8"/>
  <c r="E14" i="8"/>
  <c r="C19" i="8"/>
  <c r="D19" i="8"/>
  <c r="E19" i="8"/>
  <c r="C25" i="8"/>
  <c r="D25" i="8"/>
  <c r="E25" i="8"/>
  <c r="E40" i="8"/>
  <c r="E41" i="8"/>
  <c r="E43" i="8"/>
  <c r="E45" i="8"/>
  <c r="E51" i="8"/>
  <c r="G6" i="9"/>
  <c r="H6" i="9"/>
  <c r="J6" i="9"/>
  <c r="K6" i="9"/>
  <c r="M6" i="9"/>
  <c r="N6" i="9"/>
  <c r="P6" i="9"/>
  <c r="Q6" i="9"/>
  <c r="D7" i="9"/>
  <c r="G7" i="9"/>
  <c r="H7" i="9"/>
  <c r="J7" i="9"/>
  <c r="K7" i="9"/>
  <c r="M7" i="9"/>
  <c r="N7" i="9"/>
  <c r="P7" i="9"/>
  <c r="Q7" i="9"/>
  <c r="D8" i="9"/>
  <c r="G8" i="9"/>
  <c r="H8" i="9"/>
  <c r="J8" i="9"/>
  <c r="K8" i="9"/>
  <c r="M8" i="9"/>
  <c r="N8" i="9"/>
  <c r="P8" i="9"/>
  <c r="Q8" i="9"/>
  <c r="G9" i="9"/>
  <c r="H9" i="9"/>
  <c r="J9" i="9"/>
  <c r="K9" i="9"/>
  <c r="M9" i="9"/>
  <c r="N9" i="9"/>
  <c r="P9" i="9"/>
  <c r="Q9" i="9"/>
  <c r="G10" i="9"/>
  <c r="H10" i="9"/>
  <c r="J10" i="9"/>
  <c r="K10" i="9"/>
  <c r="M10" i="9"/>
  <c r="N10" i="9"/>
  <c r="P10" i="9"/>
  <c r="Q10" i="9"/>
  <c r="G11" i="9"/>
  <c r="H11" i="9"/>
  <c r="J11" i="9"/>
  <c r="K11" i="9"/>
  <c r="M11" i="9"/>
  <c r="N11" i="9"/>
  <c r="P11" i="9"/>
  <c r="Q11" i="9"/>
  <c r="C13" i="9"/>
  <c r="D13" i="9"/>
  <c r="C14" i="9"/>
  <c r="D14" i="9"/>
  <c r="C16" i="9"/>
  <c r="D16" i="9"/>
  <c r="C17" i="9"/>
  <c r="D17" i="9"/>
  <c r="C18" i="9"/>
  <c r="D18" i="9"/>
  <c r="F22" i="1"/>
  <c r="G22" i="1"/>
  <c r="H22" i="1"/>
  <c r="I22" i="1"/>
  <c r="J22" i="1"/>
  <c r="F25" i="1"/>
  <c r="G25" i="1"/>
  <c r="H25" i="1"/>
  <c r="I25" i="1"/>
  <c r="J25" i="1"/>
  <c r="F27" i="1"/>
  <c r="G27" i="1"/>
  <c r="H27" i="1"/>
  <c r="I27" i="1"/>
  <c r="J27" i="1"/>
  <c r="F28" i="1"/>
  <c r="G28" i="1"/>
  <c r="H28" i="1"/>
  <c r="I28" i="1"/>
  <c r="J28" i="1"/>
  <c r="F34" i="1"/>
  <c r="G34" i="1"/>
  <c r="H34" i="1"/>
  <c r="I34" i="1"/>
  <c r="J34" i="1"/>
  <c r="F35" i="1"/>
  <c r="G35" i="1"/>
  <c r="H35" i="1"/>
  <c r="I35" i="1"/>
  <c r="J35" i="1"/>
  <c r="F52" i="1"/>
  <c r="G52" i="1"/>
  <c r="H52" i="1"/>
  <c r="I52" i="1"/>
  <c r="J52" i="1"/>
  <c r="F59" i="1"/>
  <c r="G59" i="1"/>
  <c r="H59" i="1"/>
  <c r="I59" i="1"/>
  <c r="J59" i="1"/>
  <c r="F63" i="1"/>
  <c r="G63" i="1"/>
  <c r="H63" i="1"/>
  <c r="I63" i="1"/>
  <c r="J63" i="1"/>
  <c r="F66" i="1"/>
  <c r="G66" i="1"/>
  <c r="H66" i="1"/>
  <c r="I66" i="1"/>
  <c r="J66" i="1"/>
  <c r="F71" i="1"/>
  <c r="G71" i="1"/>
  <c r="H71" i="1"/>
  <c r="I71" i="1"/>
  <c r="J71" i="1"/>
  <c r="F73" i="1"/>
  <c r="G73" i="1"/>
  <c r="H73" i="1"/>
  <c r="I73" i="1"/>
  <c r="J73" i="1"/>
  <c r="F75" i="1"/>
  <c r="G75" i="1"/>
  <c r="H75" i="1"/>
  <c r="I75" i="1"/>
  <c r="J75" i="1"/>
  <c r="F78" i="1"/>
  <c r="G78" i="1"/>
  <c r="H78" i="1"/>
  <c r="I78" i="1"/>
  <c r="J78" i="1"/>
  <c r="F79" i="1"/>
  <c r="G79" i="1"/>
  <c r="H79" i="1"/>
  <c r="I79" i="1"/>
  <c r="J79" i="1"/>
  <c r="F80" i="1"/>
  <c r="G80" i="1"/>
  <c r="H80" i="1"/>
  <c r="I80" i="1"/>
  <c r="J80" i="1"/>
  <c r="F81" i="1"/>
  <c r="G81" i="1"/>
  <c r="H81" i="1"/>
  <c r="I81" i="1"/>
  <c r="J81" i="1"/>
  <c r="F82" i="1"/>
  <c r="G82" i="1"/>
  <c r="H82" i="1"/>
  <c r="I82" i="1"/>
  <c r="J82" i="1"/>
  <c r="G180" i="1"/>
  <c r="H180" i="1"/>
  <c r="I180" i="1"/>
  <c r="J180" i="1"/>
  <c r="F181" i="1"/>
  <c r="G181" i="1"/>
  <c r="H181" i="1"/>
  <c r="I181" i="1"/>
  <c r="J181" i="1"/>
  <c r="F182" i="1"/>
  <c r="G182" i="1"/>
  <c r="H182" i="1"/>
  <c r="I182" i="1"/>
  <c r="J182" i="1"/>
  <c r="F183" i="1"/>
  <c r="G183" i="1"/>
  <c r="H183" i="1"/>
  <c r="I183" i="1"/>
  <c r="J183" i="1"/>
  <c r="F185" i="1"/>
  <c r="G185" i="1"/>
  <c r="H185" i="1"/>
  <c r="I185" i="1"/>
  <c r="J185" i="1"/>
  <c r="F187" i="1"/>
  <c r="G187" i="1"/>
  <c r="H187" i="1"/>
  <c r="I187" i="1"/>
  <c r="J187" i="1"/>
  <c r="F196" i="1"/>
  <c r="G196" i="1"/>
  <c r="H196" i="1"/>
  <c r="I196" i="1"/>
  <c r="J196" i="1"/>
  <c r="F206" i="1"/>
  <c r="G206" i="1"/>
  <c r="H206" i="1"/>
  <c r="I206" i="1"/>
  <c r="J206" i="1"/>
  <c r="F213" i="1"/>
  <c r="G213" i="1"/>
  <c r="H213" i="1"/>
  <c r="I213" i="1"/>
  <c r="J213" i="1"/>
  <c r="F217" i="1"/>
  <c r="G217" i="1"/>
  <c r="H217" i="1"/>
  <c r="I217" i="1"/>
  <c r="J217" i="1"/>
  <c r="F218" i="1"/>
  <c r="G218" i="1"/>
  <c r="H218" i="1"/>
  <c r="I218" i="1"/>
  <c r="J218" i="1"/>
  <c r="F220" i="1"/>
  <c r="G220" i="1"/>
  <c r="H220" i="1"/>
  <c r="I220" i="1"/>
  <c r="J220" i="1"/>
  <c r="G224" i="1"/>
  <c r="H224" i="1"/>
  <c r="I224" i="1"/>
  <c r="J224" i="1"/>
  <c r="F225" i="1"/>
  <c r="G225" i="1"/>
  <c r="H225" i="1"/>
  <c r="I225" i="1"/>
  <c r="J225" i="1"/>
  <c r="F226" i="1"/>
  <c r="G226" i="1"/>
  <c r="H226" i="1"/>
  <c r="I226" i="1"/>
  <c r="J226" i="1"/>
  <c r="F229" i="1"/>
  <c r="G229" i="1"/>
  <c r="H229" i="1"/>
  <c r="I229" i="1"/>
  <c r="J229" i="1"/>
  <c r="G232" i="1"/>
  <c r="H232" i="1"/>
  <c r="I232" i="1"/>
  <c r="J232" i="1"/>
  <c r="G234" i="1"/>
  <c r="H234" i="1"/>
  <c r="I234" i="1"/>
  <c r="J234" i="1"/>
  <c r="F235" i="1"/>
  <c r="G235" i="1"/>
  <c r="H235" i="1"/>
  <c r="I235" i="1"/>
  <c r="J235" i="1"/>
  <c r="F236" i="1"/>
  <c r="G236" i="1"/>
  <c r="H236" i="1"/>
  <c r="I236" i="1"/>
  <c r="J236" i="1"/>
  <c r="F239" i="1"/>
  <c r="G239" i="1"/>
  <c r="H239" i="1"/>
  <c r="I239" i="1"/>
  <c r="J239" i="1"/>
  <c r="G242" i="1"/>
  <c r="H242" i="1"/>
  <c r="I242" i="1"/>
  <c r="J242" i="1"/>
  <c r="F243" i="1"/>
  <c r="G243" i="1"/>
  <c r="H243" i="1"/>
  <c r="I243" i="1"/>
  <c r="J243" i="1"/>
  <c r="F244" i="1"/>
  <c r="G244" i="1"/>
  <c r="H244" i="1"/>
  <c r="I244" i="1"/>
  <c r="J244" i="1"/>
  <c r="F247" i="1"/>
  <c r="G247" i="1"/>
  <c r="H247" i="1"/>
  <c r="I247" i="1"/>
  <c r="J247" i="1"/>
  <c r="L55" i="5"/>
  <c r="M55" i="5"/>
  <c r="L56" i="5"/>
  <c r="M56" i="5"/>
  <c r="L60" i="5"/>
  <c r="M60" i="5"/>
  <c r="L61" i="5"/>
  <c r="M61" i="5"/>
  <c r="L73" i="5"/>
  <c r="M73" i="5"/>
  <c r="L76" i="5"/>
  <c r="M76" i="5"/>
  <c r="L77" i="5"/>
  <c r="M77" i="5"/>
  <c r="L78" i="5"/>
  <c r="M78" i="5"/>
  <c r="L79" i="5"/>
  <c r="M79" i="5"/>
  <c r="L80" i="5"/>
  <c r="M80" i="5"/>
  <c r="F22" i="2"/>
  <c r="G22" i="2"/>
  <c r="H22" i="2"/>
  <c r="I22" i="2"/>
  <c r="J22" i="2"/>
  <c r="F25" i="2"/>
  <c r="G25" i="2"/>
  <c r="H25" i="2"/>
  <c r="I25" i="2"/>
  <c r="J25" i="2"/>
  <c r="F27" i="2"/>
  <c r="G27" i="2"/>
  <c r="H27" i="2"/>
  <c r="I27" i="2"/>
  <c r="J27" i="2"/>
  <c r="F28" i="2"/>
  <c r="G28" i="2"/>
  <c r="H28" i="2"/>
  <c r="I28" i="2"/>
  <c r="J28" i="2"/>
  <c r="F34" i="2"/>
  <c r="G34" i="2"/>
  <c r="H34" i="2"/>
  <c r="I34" i="2"/>
  <c r="J34" i="2"/>
  <c r="F35" i="2"/>
  <c r="G35" i="2"/>
  <c r="H35" i="2"/>
  <c r="I35" i="2"/>
  <c r="J35" i="2"/>
  <c r="F52" i="2"/>
  <c r="G52" i="2"/>
  <c r="H52" i="2"/>
  <c r="I52" i="2"/>
  <c r="J52" i="2"/>
  <c r="F59" i="2"/>
  <c r="G59" i="2"/>
  <c r="H59" i="2"/>
  <c r="I59" i="2"/>
  <c r="J59" i="2"/>
  <c r="F71" i="2"/>
  <c r="G71" i="2"/>
  <c r="H71" i="2"/>
  <c r="I71" i="2"/>
  <c r="J71" i="2"/>
  <c r="F73" i="2"/>
  <c r="G73" i="2"/>
  <c r="H73" i="2"/>
  <c r="I73" i="2"/>
  <c r="J73" i="2"/>
  <c r="F75" i="2"/>
  <c r="G75" i="2"/>
  <c r="H75" i="2"/>
  <c r="I75" i="2"/>
  <c r="J75" i="2"/>
  <c r="F78" i="2"/>
  <c r="G78" i="2"/>
  <c r="H78" i="2"/>
  <c r="I78" i="2"/>
  <c r="J78" i="2"/>
  <c r="F79" i="2"/>
  <c r="G79" i="2"/>
  <c r="H79" i="2"/>
  <c r="I79" i="2"/>
  <c r="J79" i="2"/>
  <c r="F80" i="2"/>
  <c r="G80" i="2"/>
  <c r="H80" i="2"/>
  <c r="I80" i="2"/>
  <c r="J80" i="2"/>
  <c r="F81" i="2"/>
  <c r="G81" i="2"/>
  <c r="H81" i="2"/>
  <c r="I81" i="2"/>
  <c r="J81" i="2"/>
  <c r="F82" i="2"/>
  <c r="G82" i="2"/>
  <c r="H82" i="2"/>
  <c r="I82" i="2"/>
  <c r="J82" i="2"/>
  <c r="G185" i="2"/>
  <c r="H185" i="2"/>
  <c r="I185" i="2"/>
  <c r="J185" i="2"/>
  <c r="F186" i="2"/>
  <c r="G186" i="2"/>
  <c r="H186" i="2"/>
  <c r="I186" i="2"/>
  <c r="J186" i="2"/>
  <c r="F187" i="2"/>
  <c r="G187" i="2"/>
  <c r="H187" i="2"/>
  <c r="I187" i="2"/>
  <c r="J187" i="2"/>
  <c r="F188" i="2"/>
  <c r="G188" i="2"/>
  <c r="H188" i="2"/>
  <c r="I188" i="2"/>
  <c r="J188" i="2"/>
  <c r="F190" i="2"/>
  <c r="G190" i="2"/>
  <c r="H190" i="2"/>
  <c r="I190" i="2"/>
  <c r="J190" i="2"/>
  <c r="F192" i="2"/>
  <c r="G192" i="2"/>
  <c r="H192" i="2"/>
  <c r="I192" i="2"/>
  <c r="J192" i="2"/>
  <c r="F201" i="2"/>
  <c r="G201" i="2"/>
  <c r="H201" i="2"/>
  <c r="I201" i="2"/>
  <c r="J201" i="2"/>
  <c r="F211" i="2"/>
  <c r="G211" i="2"/>
  <c r="H211" i="2"/>
  <c r="I211" i="2"/>
  <c r="J211" i="2"/>
  <c r="F218" i="2"/>
  <c r="G218" i="2"/>
  <c r="H218" i="2"/>
  <c r="I218" i="2"/>
  <c r="J218" i="2"/>
  <c r="F223" i="2"/>
  <c r="G223" i="2"/>
  <c r="H223" i="2"/>
  <c r="I223" i="2"/>
  <c r="J223" i="2"/>
  <c r="F225" i="2"/>
  <c r="G225" i="2"/>
  <c r="H225" i="2"/>
  <c r="I225" i="2"/>
  <c r="J225" i="2"/>
  <c r="G237" i="2"/>
  <c r="H237" i="2"/>
  <c r="I237" i="2"/>
  <c r="J237" i="2"/>
  <c r="G239" i="2"/>
  <c r="H239" i="2"/>
  <c r="I239" i="2"/>
  <c r="J239" i="2"/>
  <c r="F240" i="2"/>
  <c r="G240" i="2"/>
  <c r="H240" i="2"/>
  <c r="I240" i="2"/>
  <c r="J240" i="2"/>
  <c r="F241" i="2"/>
  <c r="G241" i="2"/>
  <c r="H241" i="2"/>
  <c r="I241" i="2"/>
  <c r="J241" i="2"/>
  <c r="G247" i="2"/>
  <c r="H247" i="2"/>
  <c r="I247" i="2"/>
  <c r="J247" i="2"/>
  <c r="F248" i="2"/>
  <c r="G248" i="2"/>
  <c r="H248" i="2"/>
  <c r="I248" i="2"/>
  <c r="J248" i="2"/>
  <c r="F249" i="2"/>
  <c r="G249" i="2"/>
  <c r="H249" i="2"/>
  <c r="I249" i="2"/>
  <c r="J249" i="2"/>
  <c r="F252" i="2"/>
  <c r="G252" i="2"/>
  <c r="H252" i="2"/>
  <c r="I252" i="2"/>
  <c r="J25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Wall Street Prep</author>
    <author>Sergio</author>
  </authors>
  <commentList>
    <comment ref="C10" authorId="0" shapeId="0" xr:uid="{81CFA940-37B2-44C6-B5FA-7EE0B47E3A33}">
      <text>
        <r>
          <rPr>
            <b/>
            <sz val="9"/>
            <color indexed="81"/>
            <rFont val="Tahoma"/>
            <family val="2"/>
          </rPr>
          <t>Wall Street Prep:</t>
        </r>
        <r>
          <rPr>
            <sz val="9"/>
            <color indexed="81"/>
            <rFont val="Tahoma"/>
            <family val="2"/>
          </rPr>
          <t xml:space="preserve">
If the model "blows up" (i.e. REF and DIV/0 everywhere), turn the circuit breaker above on, and then immediately off again. 
</t>
        </r>
        <r>
          <rPr>
            <b/>
            <sz val="9"/>
            <color indexed="81"/>
            <rFont val="Tahoma"/>
            <family val="2"/>
          </rPr>
          <t xml:space="preserve">Why do we need this?
</t>
        </r>
        <r>
          <rPr>
            <sz val="9"/>
            <color indexed="81"/>
            <rFont val="Tahoma"/>
            <family val="2"/>
          </rPr>
          <t xml:space="preserve">This model has an intentional circularity in the calculation of interest expense and interest income. 
Interest expense is calculated as interest rate times average current and prior period revolver debt balances. Since current period revolver balance is itself impacted by current period interest expense, the circularity exists.
The same logic applies to interest expense.
</t>
        </r>
        <r>
          <rPr>
            <b/>
            <sz val="9"/>
            <color indexed="81"/>
            <rFont val="Tahoma"/>
            <family val="2"/>
          </rPr>
          <t xml:space="preserve">Setting Iterations in Excel
</t>
        </r>
        <r>
          <rPr>
            <sz val="9"/>
            <color indexed="81"/>
            <rFont val="Tahoma"/>
            <family val="2"/>
          </rPr>
          <t xml:space="preserve">Make sure that iterations are selected under Excel Options &gt; Formulas
</t>
        </r>
        <r>
          <rPr>
            <b/>
            <sz val="9"/>
            <color indexed="81"/>
            <rFont val="Tahoma"/>
            <family val="2"/>
          </rPr>
          <t>Removing circularity altogether</t>
        </r>
        <r>
          <rPr>
            <sz val="9"/>
            <color indexed="81"/>
            <rFont val="Tahoma"/>
            <family val="2"/>
          </rPr>
          <t xml:space="preserve">
To avoid a circularity altogether, calculate interest expense using prior period debt balances (as opposed to average balances).</t>
        </r>
      </text>
    </comment>
    <comment ref="B19" authorId="1" shapeId="0" xr:uid="{84F69E58-7E4D-4179-8F28-9C821884FA7D}">
      <text>
        <r>
          <rPr>
            <b/>
            <sz val="9"/>
            <color indexed="81"/>
            <rFont val="Tahoma"/>
            <family val="2"/>
          </rPr>
          <t>Sergio:</t>
        </r>
        <r>
          <rPr>
            <sz val="9"/>
            <color indexed="81"/>
            <rFont val="Tahoma"/>
            <family val="2"/>
          </rPr>
          <t xml:space="preserve">
Consolidated with Restructuring, Acquisition related charges, and amorization of intangible assets</t>
        </r>
      </text>
    </comment>
    <comment ref="B62" authorId="1" shapeId="0" xr:uid="{5F078ADA-22FA-46DA-8F9A-0A4F5AC3569C}">
      <text>
        <r>
          <rPr>
            <b/>
            <sz val="9"/>
            <color indexed="81"/>
            <rFont val="Tahoma"/>
            <family val="2"/>
          </rPr>
          <t>Sergio:</t>
        </r>
        <r>
          <rPr>
            <sz val="9"/>
            <color indexed="81"/>
            <rFont val="Tahoma"/>
            <family val="2"/>
          </rPr>
          <t xml:space="preserve">
Consolidated with Notes Payable</t>
        </r>
      </text>
    </comment>
    <comment ref="E259" authorId="1" shapeId="0" xr:uid="{4CCB7E61-335A-4FFB-8979-A3601384EAE4}">
      <text>
        <r>
          <rPr>
            <b/>
            <sz val="9"/>
            <color indexed="81"/>
            <rFont val="Tahoma"/>
            <family val="2"/>
          </rPr>
          <t>Sergio:</t>
        </r>
        <r>
          <rPr>
            <sz val="9"/>
            <color indexed="81"/>
            <rFont val="Tahoma"/>
            <family val="2"/>
          </rPr>
          <t xml:space="preserve">
Used last closing price to get started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Wall Street Prep</author>
    <author>Sergio</author>
  </authors>
  <commentList>
    <comment ref="C10" authorId="0" shapeId="0" xr:uid="{71A9A721-A2EF-4701-A2C5-1EC9DCCD7B83}">
      <text>
        <r>
          <rPr>
            <b/>
            <sz val="9"/>
            <color indexed="81"/>
            <rFont val="Tahoma"/>
            <family val="2"/>
          </rPr>
          <t>Wall Street Prep:</t>
        </r>
        <r>
          <rPr>
            <sz val="9"/>
            <color indexed="81"/>
            <rFont val="Tahoma"/>
            <family val="2"/>
          </rPr>
          <t xml:space="preserve">
If the model "blows up" (i.e. REF and DIV/0 everywhere), turn the circuit breaker above on, and then immediately off again. 
</t>
        </r>
        <r>
          <rPr>
            <b/>
            <sz val="9"/>
            <color indexed="81"/>
            <rFont val="Tahoma"/>
            <family val="2"/>
          </rPr>
          <t xml:space="preserve">Why do we need this?
</t>
        </r>
        <r>
          <rPr>
            <sz val="9"/>
            <color indexed="81"/>
            <rFont val="Tahoma"/>
            <family val="2"/>
          </rPr>
          <t xml:space="preserve">This model has an intentional circularity in the calculation of interest expense and interest income. 
Interest expense is calculated as interest rate times average current and prior period revolver debt balances. Since current period revolver balance is itself impacted by current period interest expense, the circularity exists.
The same logic applies to interest expense.
</t>
        </r>
        <r>
          <rPr>
            <b/>
            <sz val="9"/>
            <color indexed="81"/>
            <rFont val="Tahoma"/>
            <family val="2"/>
          </rPr>
          <t xml:space="preserve">Setting Iterations in Excel
</t>
        </r>
        <r>
          <rPr>
            <sz val="9"/>
            <color indexed="81"/>
            <rFont val="Tahoma"/>
            <family val="2"/>
          </rPr>
          <t xml:space="preserve">Make sure that iterations are selected under Excel Options &gt; Formulas
</t>
        </r>
        <r>
          <rPr>
            <b/>
            <sz val="9"/>
            <color indexed="81"/>
            <rFont val="Tahoma"/>
            <family val="2"/>
          </rPr>
          <t>Removing circularity altogether</t>
        </r>
        <r>
          <rPr>
            <sz val="9"/>
            <color indexed="81"/>
            <rFont val="Tahoma"/>
            <family val="2"/>
          </rPr>
          <t xml:space="preserve">
To avoid a circularity altogether, calculate interest expense using prior period debt balances (as opposed to average balances).</t>
        </r>
      </text>
    </comment>
    <comment ref="B15" authorId="1" shapeId="0" xr:uid="{8F020562-51CD-4694-B302-125FA244F71B}">
      <text>
        <r>
          <rPr>
            <b/>
            <sz val="9"/>
            <color indexed="81"/>
            <rFont val="Tahoma"/>
            <family val="2"/>
          </rPr>
          <t>Sergio:</t>
        </r>
        <r>
          <rPr>
            <sz val="9"/>
            <color indexed="81"/>
            <rFont val="Tahoma"/>
            <family val="2"/>
          </rPr>
          <t xml:space="preserve">
Consolidated with Cost of services and Cost of financing</t>
        </r>
      </text>
    </comment>
    <comment ref="B19" authorId="1" shapeId="0" xr:uid="{B57348E4-EC37-44B6-A9E3-52EA122529C8}">
      <text>
        <r>
          <rPr>
            <b/>
            <sz val="9"/>
            <color indexed="81"/>
            <rFont val="Tahoma"/>
            <family val="2"/>
          </rPr>
          <t>Sergio:</t>
        </r>
        <r>
          <rPr>
            <sz val="9"/>
            <color indexed="81"/>
            <rFont val="Tahoma"/>
            <family val="2"/>
          </rPr>
          <t xml:space="preserve">
Consolidated with Restructuring, Amortization, Transaction costs, and Other expenses</t>
        </r>
      </text>
    </comment>
    <comment ref="B24" authorId="1" shapeId="0" xr:uid="{6C037218-4DEB-44AA-B535-C69A64E456CE}">
      <text>
        <r>
          <rPr>
            <b/>
            <sz val="9"/>
            <color indexed="81"/>
            <rFont val="Tahoma"/>
            <family val="2"/>
          </rPr>
          <t>Sergio:</t>
        </r>
        <r>
          <rPr>
            <sz val="9"/>
            <color indexed="81"/>
            <rFont val="Tahoma"/>
            <family val="2"/>
          </rPr>
          <t xml:space="preserve">
Equity in net income of unconsolidated affiliates and income from discountinued operations
</t>
        </r>
      </text>
    </comment>
    <comment ref="B27" authorId="1" shapeId="0" xr:uid="{6790FE6E-7665-412B-9B6F-250918E63943}">
      <text>
        <r>
          <rPr>
            <b/>
            <sz val="9"/>
            <color indexed="81"/>
            <rFont val="Tahoma"/>
            <family val="2"/>
          </rPr>
          <t>Sergio:</t>
        </r>
        <r>
          <rPr>
            <sz val="9"/>
            <color indexed="81"/>
            <rFont val="Tahoma"/>
            <family val="2"/>
          </rPr>
          <t xml:space="preserve">
Consolidated with income from continuing operations attributable to noncontrolling interests and income from discontinued operations attributed to noncontrolling interest</t>
        </r>
      </text>
    </comment>
    <comment ref="B53" authorId="1" shapeId="0" xr:uid="{56F98835-58B4-4E63-B57B-D89B5F378180}">
      <text>
        <r>
          <rPr>
            <b/>
            <sz val="9"/>
            <color indexed="81"/>
            <rFont val="Tahoma"/>
            <family val="2"/>
          </rPr>
          <t>Sergio:</t>
        </r>
        <r>
          <rPr>
            <sz val="9"/>
            <color indexed="81"/>
            <rFont val="Tahoma"/>
            <family val="2"/>
          </rPr>
          <t xml:space="preserve">
Consolidated with Billed portion of finance receivables, finance receivables, and finance receivables due after one year</t>
        </r>
      </text>
    </comment>
    <comment ref="B55" authorId="1" shapeId="0" xr:uid="{F84D5177-7CAA-4680-A33D-70C00A37DC94}">
      <text>
        <r>
          <rPr>
            <b/>
            <sz val="9"/>
            <color indexed="81"/>
            <rFont val="Tahoma"/>
            <family val="2"/>
          </rPr>
          <t>Sergio:</t>
        </r>
        <r>
          <rPr>
            <sz val="9"/>
            <color indexed="81"/>
            <rFont val="Tahoma"/>
            <family val="2"/>
          </rPr>
          <t xml:space="preserve">
Consolidated with equipment and land</t>
        </r>
      </text>
    </comment>
    <comment ref="B56" authorId="1" shapeId="0" xr:uid="{440F787B-4364-4076-8A3A-C287F2771B11}">
      <text>
        <r>
          <rPr>
            <b/>
            <sz val="9"/>
            <color indexed="81"/>
            <rFont val="Tahoma"/>
            <family val="2"/>
          </rPr>
          <t>Sergio:</t>
        </r>
        <r>
          <rPr>
            <sz val="9"/>
            <color indexed="81"/>
            <rFont val="Tahoma"/>
            <family val="2"/>
          </rPr>
          <t xml:space="preserve">
Consolidated with intangible assets</t>
        </r>
      </text>
    </comment>
    <comment ref="B58" authorId="1" shapeId="0" xr:uid="{22DB23CC-45C5-4519-80A8-3FF3AC7FAE1E}">
      <text>
        <r>
          <rPr>
            <b/>
            <sz val="9"/>
            <color indexed="81"/>
            <rFont val="Tahoma"/>
            <family val="2"/>
          </rPr>
          <t>Sergio:</t>
        </r>
        <r>
          <rPr>
            <sz val="9"/>
            <color indexed="81"/>
            <rFont val="Tahoma"/>
            <family val="2"/>
          </rPr>
          <t xml:space="preserve">
Consolidated with assets of discontinued operations</t>
        </r>
      </text>
    </comment>
    <comment ref="B62" authorId="1" shapeId="0" xr:uid="{4FBAF2A1-FB94-48B5-943B-0BB9D7D910C1}">
      <text>
        <r>
          <rPr>
            <b/>
            <sz val="9"/>
            <color indexed="81"/>
            <rFont val="Tahoma"/>
            <family val="2"/>
          </rPr>
          <t>Sergio:</t>
        </r>
        <r>
          <rPr>
            <sz val="9"/>
            <color indexed="81"/>
            <rFont val="Tahoma"/>
            <family val="2"/>
          </rPr>
          <t xml:space="preserve">
Consolidated with Notes Payable</t>
        </r>
      </text>
    </comment>
    <comment ref="B65" authorId="1" shapeId="0" xr:uid="{4DF1ED0C-8169-4F50-A732-9DCD152C347C}">
      <text>
        <r>
          <rPr>
            <b/>
            <sz val="9"/>
            <color indexed="81"/>
            <rFont val="Tahoma"/>
            <family val="2"/>
          </rPr>
          <t>Sergio:</t>
        </r>
        <r>
          <rPr>
            <sz val="9"/>
            <color indexed="81"/>
            <rFont val="Tahoma"/>
            <family val="2"/>
          </rPr>
          <t xml:space="preserve">
Consolidated with Accrued comp, liabilities of discontinued operations, pension, and post-retirement benefits</t>
        </r>
      </text>
    </comment>
    <comment ref="B69" authorId="1" shapeId="0" xr:uid="{DAFDDF74-9A49-44F3-85C7-BD7FF1FB0EA8}">
      <text>
        <r>
          <rPr>
            <b/>
            <sz val="9"/>
            <color indexed="81"/>
            <rFont val="Tahoma"/>
            <family val="2"/>
          </rPr>
          <t>Sergio:</t>
        </r>
        <r>
          <rPr>
            <sz val="9"/>
            <color indexed="81"/>
            <rFont val="Tahoma"/>
            <family val="2"/>
          </rPr>
          <t xml:space="preserve">
Consolidated with convertible preffered stock
</t>
        </r>
      </text>
    </comment>
    <comment ref="E264" authorId="1" shapeId="0" xr:uid="{F4845F97-2B04-4F1D-B5E9-1D6B10114482}">
      <text>
        <r>
          <rPr>
            <b/>
            <sz val="9"/>
            <color indexed="81"/>
            <rFont val="Tahoma"/>
            <family val="2"/>
          </rPr>
          <t>Sergio:</t>
        </r>
        <r>
          <rPr>
            <sz val="9"/>
            <color indexed="81"/>
            <rFont val="Tahoma"/>
            <family val="2"/>
          </rPr>
          <t xml:space="preserve">
Used last closing price to get started
</t>
        </r>
      </text>
    </comment>
  </commentList>
</comments>
</file>

<file path=xl/sharedStrings.xml><?xml version="1.0" encoding="utf-8"?>
<sst xmlns="http://schemas.openxmlformats.org/spreadsheetml/2006/main" count="907" uniqueCount="404">
  <si>
    <t>Company name</t>
  </si>
  <si>
    <t>Ticker</t>
  </si>
  <si>
    <t>Share price as of last close</t>
  </si>
  <si>
    <t>Latest closing share price date</t>
  </si>
  <si>
    <t>Latest fiscal year end date</t>
  </si>
  <si>
    <t>OFF</t>
  </si>
  <si>
    <t>($) in millions</t>
  </si>
  <si>
    <t>Historical</t>
  </si>
  <si>
    <t>Forecast</t>
  </si>
  <si>
    <t>HP</t>
  </si>
  <si>
    <t>Circuit breaker</t>
  </si>
  <si>
    <t>Scenario</t>
  </si>
  <si>
    <t>x</t>
  </si>
  <si>
    <t>INCOME STATEMENT</t>
  </si>
  <si>
    <t>Revenue</t>
  </si>
  <si>
    <t>Cost of sales (enter as -)</t>
  </si>
  <si>
    <t>Gross Profit</t>
  </si>
  <si>
    <t>Research &amp; development (enter as -)</t>
  </si>
  <si>
    <t>Selling, general &amp; administrative (enter as -)</t>
  </si>
  <si>
    <t>Operating Profit (EBIT)</t>
  </si>
  <si>
    <t>Interest income</t>
  </si>
  <si>
    <t>Interest expense (enter as -)</t>
  </si>
  <si>
    <t>Other expense (enter as -)</t>
  </si>
  <si>
    <t>Pre-Tax Profit</t>
  </si>
  <si>
    <t>Taxes (enter expense as -)</t>
  </si>
  <si>
    <t>Net Income</t>
  </si>
  <si>
    <t>Basic shares outstanding</t>
  </si>
  <si>
    <t>Impact of dilutive securities</t>
  </si>
  <si>
    <t>Diluted shares outstanding</t>
  </si>
  <si>
    <t>Basic EPS</t>
  </si>
  <si>
    <t>Diluted EPS</t>
  </si>
  <si>
    <t>Growth Rates &amp; Margins</t>
  </si>
  <si>
    <t>Revenue growth</t>
  </si>
  <si>
    <t>Gross profit as % of sales</t>
  </si>
  <si>
    <t>R&amp;D margin</t>
  </si>
  <si>
    <t>SG&amp;A margin</t>
  </si>
  <si>
    <t>Tax rate</t>
  </si>
  <si>
    <t>EBITDA Reconciliation</t>
  </si>
  <si>
    <t>Depreciation &amp; amortization</t>
  </si>
  <si>
    <t>Stock based compensation</t>
  </si>
  <si>
    <t>EBITDA</t>
  </si>
  <si>
    <t>BALANCE SHEET</t>
  </si>
  <si>
    <t>Assets</t>
  </si>
  <si>
    <t>Accounts receivable</t>
  </si>
  <si>
    <t>Inventory</t>
  </si>
  <si>
    <t>Total Assets</t>
  </si>
  <si>
    <t>Liabilities</t>
  </si>
  <si>
    <t>Accounts payable</t>
  </si>
  <si>
    <t>Revolver</t>
  </si>
  <si>
    <t>Long term debt</t>
  </si>
  <si>
    <t>Other liabilities (current &amp; non-current)</t>
  </si>
  <si>
    <t>Total Liabilities</t>
  </si>
  <si>
    <t>Shareholders' Equity</t>
  </si>
  <si>
    <t>Common stock/additional paid in capital</t>
  </si>
  <si>
    <t>Tresury stock</t>
  </si>
  <si>
    <t>Other comprehensive income/(loss)</t>
  </si>
  <si>
    <t>Total Shareholders' Equity</t>
  </si>
  <si>
    <t>Balance sheet check</t>
  </si>
  <si>
    <t>Ratios</t>
  </si>
  <si>
    <t>Net debt</t>
  </si>
  <si>
    <t>Asset turnover (Revenue/total assets)</t>
  </si>
  <si>
    <t>Net profit margin</t>
  </si>
  <si>
    <t>Return on assets (ROA)</t>
  </si>
  <si>
    <t>Return on book equity (ROE)</t>
  </si>
  <si>
    <t>Cash &amp; equivalents ST &amp; LT market. securities</t>
  </si>
  <si>
    <t>Deferred tax assets</t>
  </si>
  <si>
    <t>Property, plant &amp; equipment</t>
  </si>
  <si>
    <t>Other assets</t>
  </si>
  <si>
    <t>Other assets (current &amp; non-current)</t>
  </si>
  <si>
    <t>Goodwill</t>
  </si>
  <si>
    <t>Retained earnings/accumulated deficit</t>
  </si>
  <si>
    <t>Xerox</t>
  </si>
  <si>
    <t>XRX</t>
  </si>
  <si>
    <t>Working Capital</t>
  </si>
  <si>
    <t>Accounts Receivable</t>
  </si>
  <si>
    <t>Beginning of period</t>
  </si>
  <si>
    <t>Increases/(decreases)</t>
  </si>
  <si>
    <t>End of period</t>
  </si>
  <si>
    <t>AR as % of sales</t>
  </si>
  <si>
    <t>Days sales outstanding (DSO)</t>
  </si>
  <si>
    <t>Inventory as % of COGS</t>
  </si>
  <si>
    <t>Inventory turnover</t>
  </si>
  <si>
    <t>Accounts Payable</t>
  </si>
  <si>
    <t>AP as % of sales</t>
  </si>
  <si>
    <t>Days payables outstanding (DPO)</t>
  </si>
  <si>
    <t>Property, Plant &amp; Equipment</t>
  </si>
  <si>
    <t>Plus: Capital expenditures</t>
  </si>
  <si>
    <t>Less: Depreciation</t>
  </si>
  <si>
    <t>Capex (enter as +)</t>
  </si>
  <si>
    <t>Capital expenditures as % of revenue</t>
  </si>
  <si>
    <t>Depreciation (enter as -)</t>
  </si>
  <si>
    <t>Depreciation as a % of capital expenditures</t>
  </si>
  <si>
    <t>Plus: Purchases of intangible assets</t>
  </si>
  <si>
    <t>Less: Amortization</t>
  </si>
  <si>
    <t>Purchases of intangible assets (enter as +)</t>
  </si>
  <si>
    <t>Amortization (enter as -)</t>
  </si>
  <si>
    <t>Other Assets/Liabilities</t>
  </si>
  <si>
    <t>Other liabilities</t>
  </si>
  <si>
    <t>Debt</t>
  </si>
  <si>
    <t>Additional borrowing / (pay down)</t>
  </si>
  <si>
    <t>PIK accrual</t>
  </si>
  <si>
    <t>Interest expense on long term debt</t>
  </si>
  <si>
    <t>Weighted average interest rate</t>
  </si>
  <si>
    <t>% of interest expense paid in cash</t>
  </si>
  <si>
    <t>% of interest expense accrues as PIK</t>
  </si>
  <si>
    <t>Capital Stock</t>
  </si>
  <si>
    <t>Plus: new share issuances</t>
  </si>
  <si>
    <t>Plus: stock based compensation</t>
  </si>
  <si>
    <t>New share issuance</t>
  </si>
  <si>
    <t>SBC as % of all operating expenses</t>
  </si>
  <si>
    <t>Treasury stock</t>
  </si>
  <si>
    <t>Less: stock repurchases</t>
  </si>
  <si>
    <t>Stock repurchases</t>
  </si>
  <si>
    <t>Common stock/APIC</t>
  </si>
  <si>
    <t>Retained Earnings &amp; OCI</t>
  </si>
  <si>
    <t>Retained earnings</t>
  </si>
  <si>
    <t>Plus: net income</t>
  </si>
  <si>
    <t>Less: Common dividends</t>
  </si>
  <si>
    <t>Net income</t>
  </si>
  <si>
    <t>Dividend payout ratio</t>
  </si>
  <si>
    <t>Common dividends</t>
  </si>
  <si>
    <t>Plus: income/(loss)</t>
  </si>
  <si>
    <t>STATEMENT OF CASH FLOWS</t>
  </si>
  <si>
    <t>Deffered tax assets</t>
  </si>
  <si>
    <t>Non-cash (PIK) interest</t>
  </si>
  <si>
    <t>Cash from operating activities</t>
  </si>
  <si>
    <t>Capital expenditures</t>
  </si>
  <si>
    <t>Purchases of intangible assets</t>
  </si>
  <si>
    <t>Cash from investing activities</t>
  </si>
  <si>
    <t>New share issuances</t>
  </si>
  <si>
    <t>Share repurchases</t>
  </si>
  <si>
    <t>Cash from financing activities</t>
  </si>
  <si>
    <t>Net change in cash during period</t>
  </si>
  <si>
    <t>Revolver &amp; Cash</t>
  </si>
  <si>
    <t>Maximum availability</t>
  </si>
  <si>
    <t>Compliance check</t>
  </si>
  <si>
    <t>Revolver needs analysis</t>
  </si>
  <si>
    <t>Less: minimum cash desired</t>
  </si>
  <si>
    <t>Equals: excess cash at BOP</t>
  </si>
  <si>
    <t>Plus: free cash flows generated during period</t>
  </si>
  <si>
    <t>Equals: cash available (needed) to paydown (draw from) revolver</t>
  </si>
  <si>
    <t>Interest rate on revolver</t>
  </si>
  <si>
    <t>Interest expense</t>
  </si>
  <si>
    <t>Cash</t>
  </si>
  <si>
    <t>+/- additions</t>
  </si>
  <si>
    <t>Interest rate on cash</t>
  </si>
  <si>
    <t>AP as % of COGS</t>
  </si>
  <si>
    <t>Shares Outstanding</t>
  </si>
  <si>
    <t>Beginning of new period</t>
  </si>
  <si>
    <t>+ new shares issued</t>
  </si>
  <si>
    <t>- shares repurchased</t>
  </si>
  <si>
    <t>Consensus EPS</t>
  </si>
  <si>
    <t>% change in EPS, y-o-y</t>
  </si>
  <si>
    <t>Average share price</t>
  </si>
  <si>
    <t>HPQ</t>
  </si>
  <si>
    <t>Discounted Cash Flow</t>
  </si>
  <si>
    <t>Assumptions</t>
  </si>
  <si>
    <t>Latest basic share count</t>
  </si>
  <si>
    <t>Weighted average cost of capital</t>
  </si>
  <si>
    <t>FREE CASH FLOW</t>
  </si>
  <si>
    <t>EBIT</t>
  </si>
  <si>
    <t>EBIAT (NOPAT)</t>
  </si>
  <si>
    <t>Unlevered CF from Operations</t>
  </si>
  <si>
    <t>Less: capex</t>
  </si>
  <si>
    <t>Unlevered FCF</t>
  </si>
  <si>
    <t>% growth</t>
  </si>
  <si>
    <t>Discount factor</t>
  </si>
  <si>
    <t>Present value of unlevered FCF</t>
  </si>
  <si>
    <t>Less: purchases of intangible assets</t>
  </si>
  <si>
    <t>ENTERPRISE VALUE</t>
  </si>
  <si>
    <t>Perpetuity Approach</t>
  </si>
  <si>
    <t>Exit EBITDA Multiple Approach</t>
  </si>
  <si>
    <t>Unlevered FCF in last forecast period (t)</t>
  </si>
  <si>
    <t>Terminal year EBITDA</t>
  </si>
  <si>
    <t>FCF t+1</t>
  </si>
  <si>
    <t>Terminal value EBITDA multiple</t>
  </si>
  <si>
    <t>Long-term growth rate (g)</t>
  </si>
  <si>
    <t>Terminal value</t>
  </si>
  <si>
    <t>Present value of terminal value</t>
  </si>
  <si>
    <t>Present value of stage 1 cash flows</t>
  </si>
  <si>
    <t>Enterprise Value</t>
  </si>
  <si>
    <t>Implied TV perpetual growth rate</t>
  </si>
  <si>
    <t>Implied TV exit EBITDA multiple</t>
  </si>
  <si>
    <t>Net Debt &amp; Options/Warrants</t>
  </si>
  <si>
    <t>Cash &amp; equivalents ST &amp; LT mkt. securities</t>
  </si>
  <si>
    <t>Long-term debt</t>
  </si>
  <si>
    <t>Trapped cash</t>
  </si>
  <si>
    <t>Net Debt</t>
  </si>
  <si>
    <t>Excercisable options</t>
  </si>
  <si>
    <t>Exercise price</t>
  </si>
  <si>
    <t>In-the-money excercisable options</t>
  </si>
  <si>
    <t>Total proceeds</t>
  </si>
  <si>
    <t>Total shares repurchased</t>
  </si>
  <si>
    <t>Net dilutive options</t>
  </si>
  <si>
    <t>Dilutive impact of shares from other securities</t>
  </si>
  <si>
    <t>Net Diluted Shares Outstanding</t>
  </si>
  <si>
    <t>FAIR VALUE PER SHARE</t>
  </si>
  <si>
    <t>Perpetuity</t>
  </si>
  <si>
    <t>Enterprise value</t>
  </si>
  <si>
    <t>Less: net debt</t>
  </si>
  <si>
    <t>Less: trapped cash</t>
  </si>
  <si>
    <t>Equity Value</t>
  </si>
  <si>
    <t>Diluted shares</t>
  </si>
  <si>
    <t>Equity Value per Share</t>
  </si>
  <si>
    <t>Market premium/(discount) to fair value</t>
  </si>
  <si>
    <t>COST OF CAPITAL (WACC)</t>
  </si>
  <si>
    <t>Debt Assumptions</t>
  </si>
  <si>
    <t>Cost of debt</t>
  </si>
  <si>
    <t>After Tax Cost of Debt</t>
  </si>
  <si>
    <t>Equity Assumptions</t>
  </si>
  <si>
    <t>Risk-free rate</t>
  </si>
  <si>
    <t>Beta</t>
  </si>
  <si>
    <t>Market risk premium</t>
  </si>
  <si>
    <t>Cost of Equity</t>
  </si>
  <si>
    <t>Amount</t>
  </si>
  <si>
    <t>% of Total</t>
  </si>
  <si>
    <t>Market value of equity</t>
  </si>
  <si>
    <t>WACC</t>
  </si>
  <si>
    <t>HP &amp; Xerox Merger Model</t>
  </si>
  <si>
    <t>Scenario Analysis Assumptions</t>
  </si>
  <si>
    <t>Revenue Growth</t>
  </si>
  <si>
    <t>Best case</t>
  </si>
  <si>
    <t>Base case</t>
  </si>
  <si>
    <t>Weak case</t>
  </si>
  <si>
    <t>R&amp;D Margin</t>
  </si>
  <si>
    <t>SG&amp;A Margin</t>
  </si>
  <si>
    <t>HP Assumptions</t>
  </si>
  <si>
    <t>Xerox Assumptions</t>
  </si>
  <si>
    <t>Current date</t>
  </si>
  <si>
    <t>Acquirer</t>
  </si>
  <si>
    <t>Name</t>
  </si>
  <si>
    <t>Lastest filing date</t>
  </si>
  <si>
    <t>Filing type</t>
  </si>
  <si>
    <t>Current share price</t>
  </si>
  <si>
    <t>Target</t>
  </si>
  <si>
    <t>Latest filing date</t>
  </si>
  <si>
    <t>% offer premium</t>
  </si>
  <si>
    <t>Offer price per share</t>
  </si>
  <si>
    <t>Offer value</t>
  </si>
  <si>
    <t>10-K</t>
  </si>
  <si>
    <t>Deal Structure</t>
  </si>
  <si>
    <t>Tax structure</t>
  </si>
  <si>
    <t>% stock</t>
  </si>
  <si>
    <t>% cash</t>
  </si>
  <si>
    <t>Acquirer shares issued in transaction</t>
  </si>
  <si>
    <t>Nominal exchange ration</t>
  </si>
  <si>
    <t>Actual exchange ratio</t>
  </si>
  <si>
    <t>Stock sale</t>
  </si>
  <si>
    <t>Other Assumptions</t>
  </si>
  <si>
    <t>Deal fees as % of offer value</t>
  </si>
  <si>
    <t>Deal fees</t>
  </si>
  <si>
    <t>Assumed annual pretax cost synergies</t>
  </si>
  <si>
    <t>Xerox calendar year ending 2019 EBITDA</t>
  </si>
  <si>
    <t>HP calendar year ending 2019 EBITDA</t>
  </si>
  <si>
    <t>Acquirer tax rate</t>
  </si>
  <si>
    <t>Target tax rate</t>
  </si>
  <si>
    <t>Transaction Financing</t>
  </si>
  <si>
    <t>% cash consideration financed with debt</t>
  </si>
  <si>
    <t>% cash consideration financed with excess cash</t>
  </si>
  <si>
    <t>Acquierer new borrowing</t>
  </si>
  <si>
    <t>Acquierer excess cash used</t>
  </si>
  <si>
    <t>% of total acquierer cash balance</t>
  </si>
  <si>
    <t>Treatment of target debt</t>
  </si>
  <si>
    <t>Debt to be refinanced</t>
  </si>
  <si>
    <t>Total acquisition financing</t>
  </si>
  <si>
    <t>Acquierer available cash</t>
  </si>
  <si>
    <t>Target debt outstanding</t>
  </si>
  <si>
    <t>Term of loan</t>
  </si>
  <si>
    <t>Financing fees as % of acquisition financing</t>
  </si>
  <si>
    <t>Financing fees</t>
  </si>
  <si>
    <t>Annual financing fee amortization</t>
  </si>
  <si>
    <t>Interest rate on new debt</t>
  </si>
  <si>
    <t>Interest earned on cash</t>
  </si>
  <si>
    <t>Refinanced</t>
  </si>
  <si>
    <t>Sources of Funds</t>
  </si>
  <si>
    <t>New borrowing to acquier target</t>
  </si>
  <si>
    <t>New borrowing to refinance target debt</t>
  </si>
  <si>
    <t>Cash used to acquier target</t>
  </si>
  <si>
    <t>Value of stock issued to acquire target</t>
  </si>
  <si>
    <t>Cash for fees</t>
  </si>
  <si>
    <t>Total sources</t>
  </si>
  <si>
    <t>Uses of Funds</t>
  </si>
  <si>
    <t>Stock to target</t>
  </si>
  <si>
    <t>Cash to target</t>
  </si>
  <si>
    <t>Target debt refinanced</t>
  </si>
  <si>
    <t>Deal fees (advisory, legal, and accounting)</t>
  </si>
  <si>
    <t>Total uses</t>
  </si>
  <si>
    <t>Asset Write-Ups</t>
  </si>
  <si>
    <t>Tangible assets</t>
  </si>
  <si>
    <t>Book value of target PP&amp;E</t>
  </si>
  <si>
    <t>Asset write-up</t>
  </si>
  <si>
    <t>Useful life</t>
  </si>
  <si>
    <t>Incremental depreciation expense</t>
  </si>
  <si>
    <t>Incremental deffered tax liabilities</t>
  </si>
  <si>
    <t>Book value of target intangible assets</t>
  </si>
  <si>
    <t>% write-up</t>
  </si>
  <si>
    <t>Transaction Assumptions</t>
  </si>
  <si>
    <t>Sources &amp; Uses of Funds</t>
  </si>
  <si>
    <t>Write-Ups &amp; Purchase Price Allocation</t>
  </si>
  <si>
    <t>Sources balance check</t>
  </si>
  <si>
    <t>Pro Forma Balance Sheet</t>
  </si>
  <si>
    <t>Acquierer</t>
  </si>
  <si>
    <t>Adjustments</t>
  </si>
  <si>
    <t>Pro Forma</t>
  </si>
  <si>
    <t>Increase</t>
  </si>
  <si>
    <t>Decrease</t>
  </si>
  <si>
    <t>Purchase Price Allocation</t>
  </si>
  <si>
    <t>Target assets - book value</t>
  </si>
  <si>
    <t>Intangible assets</t>
  </si>
  <si>
    <t>Plus: PP&amp;E write ups</t>
  </si>
  <si>
    <t>Plus: intangible assets write ups</t>
  </si>
  <si>
    <t>Less: write off of target goodwill</t>
  </si>
  <si>
    <t>Less: write off of target deffered tax assets</t>
  </si>
  <si>
    <t>Target assets - fair market value</t>
  </si>
  <si>
    <t>Target liabilities - book value</t>
  </si>
  <si>
    <t>Plus: new deferred tax liabilities created</t>
  </si>
  <si>
    <t>Target liabilities - fair market value</t>
  </si>
  <si>
    <t>Target net book value - fair market value</t>
  </si>
  <si>
    <t>Goodwill created in transaction</t>
  </si>
  <si>
    <t>Deferred tax liabilities</t>
  </si>
  <si>
    <t>Credit Statistics</t>
  </si>
  <si>
    <t>Total debt</t>
  </si>
  <si>
    <t>Plus: noncontrolling interest</t>
  </si>
  <si>
    <t>Plus: preferred stock</t>
  </si>
  <si>
    <t>Less: cash &amp; equivalents</t>
  </si>
  <si>
    <t>Equity value</t>
  </si>
  <si>
    <t>EBITDA for the calendar year ending 2019</t>
  </si>
  <si>
    <t>Gross debt/EBITDA</t>
  </si>
  <si>
    <t>Enterprise value/EBITDA</t>
  </si>
  <si>
    <t>Debt/equity</t>
  </si>
  <si>
    <t>Accretion/Dilution</t>
  </si>
  <si>
    <t>EPS</t>
  </si>
  <si>
    <t>Diluted shares outstanding (weighted avg)</t>
  </si>
  <si>
    <t>Transaction Related Expenses/Income</t>
  </si>
  <si>
    <t>Less: Interest expense from new deal debt</t>
  </si>
  <si>
    <t>Less: Interest income on cash forgone</t>
  </si>
  <si>
    <t>Plus: Synergies</t>
  </si>
  <si>
    <t>Less: Incremental D&amp;A expense</t>
  </si>
  <si>
    <t>Less: Financing fee amortization</t>
  </si>
  <si>
    <t>Taxes (assumed at acquirer's rate)</t>
  </si>
  <si>
    <t>Total after tax transaction related income/ (expenses)</t>
  </si>
  <si>
    <t>Pro forma EPS</t>
  </si>
  <si>
    <t>Pro forma shares outstanding</t>
  </si>
  <si>
    <t>Incremental amortization expense</t>
  </si>
  <si>
    <t>Acquierer standalone EPS</t>
  </si>
  <si>
    <t>Accretion/(dilution) per share</t>
  </si>
  <si>
    <t>Accretion/(dilution) %</t>
  </si>
  <si>
    <t>Additional pretax synergies required to breakeven</t>
  </si>
  <si>
    <t>Xerox Acquires HP</t>
  </si>
  <si>
    <t>Accretion/Dilution - Year 1 (Offer price to percent stock)</t>
  </si>
  <si>
    <t>Pro forma earnings</t>
  </si>
  <si>
    <t>($) in millions, except per share</t>
  </si>
  <si>
    <t>Contribution &amp; Valuation</t>
  </si>
  <si>
    <t>Market Value</t>
  </si>
  <si>
    <t>Price per share</t>
  </si>
  <si>
    <t>Contribution $</t>
  </si>
  <si>
    <t>Revenue (FY+1)</t>
  </si>
  <si>
    <t>EBITDA (FY+1)</t>
  </si>
  <si>
    <t>Net income (FY+1)</t>
  </si>
  <si>
    <t>Contribution %</t>
  </si>
  <si>
    <t>Multiples</t>
  </si>
  <si>
    <t>Implied Target Valuation Based on</t>
  </si>
  <si>
    <t>YR 1 Revenue</t>
  </si>
  <si>
    <t>YR 1 EBITDA</t>
  </si>
  <si>
    <t>Xerox enterprise value</t>
  </si>
  <si>
    <t>Pro forma enterprise value</t>
  </si>
  <si>
    <t>Implied HP enterprise value</t>
  </si>
  <si>
    <t>HP net debt</t>
  </si>
  <si>
    <t>Implied HP equity value</t>
  </si>
  <si>
    <t>Implied HP share price</t>
  </si>
  <si>
    <t>Offer price</t>
  </si>
  <si>
    <t>Offer price premium/(discount) to target valuation</t>
  </si>
  <si>
    <t>YR 1 Net Income</t>
  </si>
  <si>
    <t>Xerox equity value</t>
  </si>
  <si>
    <t>Pro forma equity value</t>
  </si>
  <si>
    <t>Summary</t>
  </si>
  <si>
    <t>Implied HP share price based on</t>
  </si>
  <si>
    <t>Revenue contribution (FY+1)</t>
  </si>
  <si>
    <t>EBITDA contribution (FY+1)</t>
  </si>
  <si>
    <t>Net income contribution (FY+1)</t>
  </si>
  <si>
    <t>Pro forma</t>
  </si>
  <si>
    <t>Exchange Ratios</t>
  </si>
  <si>
    <t>Share Price</t>
  </si>
  <si>
    <t>Pre-deal</t>
  </si>
  <si>
    <t>Announcement</t>
  </si>
  <si>
    <t>Exchange ratio</t>
  </si>
  <si>
    <t>Exchange Ratio</t>
  </si>
  <si>
    <t>Fixed</t>
  </si>
  <si>
    <t>Floating</t>
  </si>
  <si>
    <t>Acquirer closing share price</t>
  </si>
  <si>
    <t>Target closing share price</t>
  </si>
  <si>
    <t>Target pre-deal shares out.</t>
  </si>
  <si>
    <t>New acquirer shares issued</t>
  </si>
  <si>
    <t>Deal value at announcement</t>
  </si>
  <si>
    <t>Deal value at close</t>
  </si>
  <si>
    <t>Walk-away</t>
  </si>
  <si>
    <t>Floor</t>
  </si>
  <si>
    <t>Cap</t>
  </si>
  <si>
    <t>Fixed Exchange Ratio</t>
  </si>
  <si>
    <t>Offer Value</t>
  </si>
  <si>
    <t>Floating Exchange Ratio</t>
  </si>
  <si>
    <t>Floating Exchange w/Collar</t>
  </si>
  <si>
    <t>Fixed Exchange w/Collar</t>
  </si>
  <si>
    <t>Select case in the "FSM" sheets for each company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</si>
</sst>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64" formatCode="&quot; &quot;"/>
    <numFmt numFmtId="165" formatCode="&quot;$&quot;#,##0.00_);\(&quot;$&quot;#,##0.00\);@_)"/>
    <numFmt numFmtId="166" formatCode="#,##0.0_);\(#,##0.0\);@_)"/>
    <numFmt numFmtId="167" formatCode="[$$]#,##0;\([$$]#,##0\);&quot;–&quot;;@"/>
    <numFmt numFmtId="168" formatCode="#,##0;\(#,##0\);&quot;–&quot;;@"/>
    <numFmt numFmtId="169" formatCode="[$$]#,##0.00;\([$$]#,##0.00\);&quot;–&quot;;@"/>
    <numFmt numFmtId="170" formatCode="#,##0.0%;\(#,##0.0%\);&quot;–&quot;;@"/>
    <numFmt numFmtId="171" formatCode="0.00\x;\(0.00\x\);&quot;–&quot;"/>
    <numFmt numFmtId="172" formatCode="0\ &quot;days&quot;"/>
    <numFmt numFmtId="173" formatCode="#,##0.00;\(#,##0.00\);&quot;–&quot;;@"/>
    <numFmt numFmtId="174" formatCode="0.0\x;\(0.0\x\);&quot;–&quot;"/>
    <numFmt numFmtId="175" formatCode="[$$-380A]\ #,##0.00;\-[$$-380A]\ #,##0.00"/>
    <numFmt numFmtId="176" formatCode="_(#,##0.0%_);\(#,##0.0%\);_(&quot;–&quot;_)_%;_(@_)_%"/>
    <numFmt numFmtId="177" formatCode="_(#,##0_)_%;\(#,##0\)_%;_(&quot;–&quot;_)_%;_(@_)_%"/>
    <numFmt numFmtId="178" formatCode="0.0%"/>
    <numFmt numFmtId="179" formatCode="_(0.00\x_)_)_';_(\(0.00\x\)_'_';_(&quot;–&quot;_)_%;_(@_)_%"/>
    <numFmt numFmtId="180" formatCode="0\ &quot;years&quot;"/>
    <numFmt numFmtId="181" formatCode="#,##0.0_);\(#,##0.0\)"/>
    <numFmt numFmtId="182" formatCode="#,##0.00%;\(#,##0.00%\);&quot;–&quot;;@"/>
  </numFmts>
  <fonts count="26"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name val="Calibri"/>
      <family val="2"/>
      <scheme val="minor"/>
    </font>
    <font>
      <sz val="11"/>
      <color rgb="FF000000"/>
      <name val="Calibri"/>
      <family val="2"/>
      <scheme val="minor"/>
    </font>
    <font>
      <sz val="11"/>
      <color rgb="FF0000FF"/>
      <name val="Calibri"/>
      <family val="2"/>
      <scheme val="minor"/>
    </font>
    <font>
      <b/>
      <sz val="9"/>
      <color indexed="81"/>
      <name val="Tahoma"/>
      <family val="2"/>
    </font>
    <font>
      <sz val="9"/>
      <color indexed="81"/>
      <name val="Tahoma"/>
      <family val="2"/>
    </font>
    <font>
      <b/>
      <sz val="22"/>
      <color theme="0"/>
      <name val="Calibri"/>
      <family val="2"/>
      <scheme val="minor"/>
    </font>
    <font>
      <sz val="11"/>
      <color rgb="FF002060"/>
      <name val="Calibri"/>
      <family val="2"/>
      <scheme val="minor"/>
    </font>
    <font>
      <b/>
      <sz val="11"/>
      <color rgb="FF000000"/>
      <name val="Calibri"/>
      <family val="2"/>
      <scheme val="minor"/>
    </font>
    <font>
      <sz val="12"/>
      <color theme="1"/>
      <name val="Calibri"/>
      <family val="2"/>
      <scheme val="minor"/>
    </font>
    <font>
      <b/>
      <sz val="12"/>
      <color theme="1"/>
      <name val="Calibri"/>
      <family val="2"/>
      <scheme val="minor"/>
    </font>
    <font>
      <i/>
      <sz val="11"/>
      <color rgb="FF000000"/>
      <name val="Calibri"/>
      <family val="2"/>
      <scheme val="minor"/>
    </font>
    <font>
      <i/>
      <sz val="11"/>
      <color theme="1"/>
      <name val="Calibri"/>
      <family val="2"/>
      <scheme val="minor"/>
    </font>
    <font>
      <b/>
      <sz val="18"/>
      <color theme="0"/>
      <name val="Calibri"/>
      <family val="2"/>
      <scheme val="minor"/>
    </font>
    <font>
      <b/>
      <sz val="11"/>
      <name val="Calibri"/>
      <family val="2"/>
      <scheme val="minor"/>
    </font>
    <font>
      <b/>
      <sz val="11"/>
      <color rgb="FF0000FF"/>
      <name val="Calibri"/>
      <family val="2"/>
      <scheme val="minor"/>
    </font>
    <font>
      <sz val="11"/>
      <color rgb="FF008000"/>
      <name val="Calibri"/>
      <family val="2"/>
      <scheme val="minor"/>
    </font>
    <font>
      <i/>
      <sz val="11"/>
      <color rgb="FF008000"/>
      <name val="Calibri"/>
      <family val="2"/>
      <scheme val="minor"/>
    </font>
    <font>
      <b/>
      <sz val="48"/>
      <color theme="0"/>
      <name val="Calibri"/>
      <family val="2"/>
      <scheme val="minor"/>
    </font>
    <font>
      <i/>
      <u/>
      <sz val="11"/>
      <color theme="1"/>
      <name val="Calibri"/>
      <family val="2"/>
      <scheme val="minor"/>
    </font>
    <font>
      <sz val="11"/>
      <color theme="0"/>
      <name val="Calibri"/>
      <family val="2"/>
      <scheme val="minor"/>
    </font>
    <font>
      <b/>
      <u/>
      <sz val="18"/>
      <color theme="1"/>
      <name val="Calibri"/>
      <family val="2"/>
      <scheme val="minor"/>
    </font>
    <font>
      <b/>
      <u/>
      <sz val="11"/>
      <color theme="1"/>
      <name val="Calibri"/>
      <family val="2"/>
      <scheme val="minor"/>
    </font>
  </fonts>
  <fills count="7">
    <fill>
      <patternFill patternType="none"/>
    </fill>
    <fill>
      <patternFill patternType="gray125"/>
    </fill>
    <fill>
      <patternFill patternType="solid">
        <fgColor theme="0"/>
        <bgColor indexed="64"/>
      </patternFill>
    </fill>
    <fill>
      <patternFill patternType="solid">
        <fgColor rgb="FF002060"/>
        <bgColor indexed="64"/>
      </patternFill>
    </fill>
    <fill>
      <patternFill patternType="solid">
        <fgColor theme="4" tint="-0.249977111117893"/>
        <bgColor indexed="64"/>
      </patternFill>
    </fill>
    <fill>
      <patternFill patternType="solid">
        <fgColor rgb="FFFFFFFF"/>
        <bgColor rgb="FF000000"/>
      </patternFill>
    </fill>
    <fill>
      <patternFill patternType="solid">
        <fgColor theme="0"/>
        <bgColor rgb="FF000000"/>
      </patternFill>
    </fill>
  </fills>
  <borders count="19">
    <border>
      <left/>
      <right/>
      <top/>
      <bottom/>
      <diagonal/>
    </border>
    <border>
      <left/>
      <right/>
      <top style="thin">
        <color indexed="64"/>
      </top>
      <bottom style="thin">
        <color indexed="64"/>
      </bottom>
      <diagonal/>
    </border>
    <border>
      <left/>
      <right/>
      <top style="thin">
        <color indexed="64"/>
      </top>
      <bottom style="double">
        <color indexed="64"/>
      </bottom>
      <diagonal/>
    </border>
    <border>
      <left/>
      <right/>
      <top style="thin">
        <color rgb="FF000000"/>
      </top>
      <bottom style="double">
        <color rgb="FF000000"/>
      </bottom>
      <diagonal/>
    </border>
    <border>
      <left/>
      <right/>
      <top/>
      <bottom style="thin">
        <color indexed="64"/>
      </bottom>
      <diagonal/>
    </border>
    <border>
      <left/>
      <right/>
      <top/>
      <bottom style="thin">
        <color rgb="FF000000"/>
      </bottom>
      <diagonal/>
    </border>
    <border>
      <left/>
      <right/>
      <top style="thin">
        <color rgb="FF000000"/>
      </top>
      <bottom style="thin">
        <color rgb="FF000000"/>
      </bottom>
      <diagonal/>
    </border>
    <border>
      <left/>
      <right/>
      <top style="thin">
        <color rgb="FF000000"/>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201">
    <xf numFmtId="0" fontId="0" fillId="0" borderId="0" xfId="0"/>
    <xf numFmtId="0" fontId="4" fillId="2" borderId="0" xfId="0" applyFont="1" applyFill="1"/>
    <xf numFmtId="0" fontId="0" fillId="3" borderId="0" xfId="0" applyFill="1"/>
    <xf numFmtId="0" fontId="2" fillId="3" borderId="0" xfId="0" applyFont="1" applyFill="1"/>
    <xf numFmtId="0" fontId="9" fillId="3" borderId="0" xfId="0" applyFont="1" applyFill="1"/>
    <xf numFmtId="0" fontId="2" fillId="4" borderId="0" xfId="0" applyFont="1" applyFill="1" applyAlignment="1">
      <alignment horizontal="center"/>
    </xf>
    <xf numFmtId="0" fontId="2" fillId="3" borderId="0" xfId="0" applyFont="1" applyFill="1" applyAlignment="1">
      <alignment horizontal="center"/>
    </xf>
    <xf numFmtId="0" fontId="5" fillId="2" borderId="0" xfId="0" applyFont="1" applyFill="1"/>
    <xf numFmtId="0" fontId="6" fillId="2" borderId="0" xfId="0" applyFont="1" applyFill="1" applyAlignment="1">
      <alignment horizontal="right"/>
    </xf>
    <xf numFmtId="164" fontId="0" fillId="2" borderId="0" xfId="0" applyNumberFormat="1" applyFill="1"/>
    <xf numFmtId="165" fontId="6" fillId="2" borderId="0" xfId="0" applyNumberFormat="1" applyFont="1" applyFill="1" applyAlignment="1">
      <alignment horizontal="right"/>
    </xf>
    <xf numFmtId="14" fontId="6" fillId="2" borderId="0" xfId="0" applyNumberFormat="1" applyFont="1" applyFill="1" applyAlignment="1">
      <alignment horizontal="right"/>
    </xf>
    <xf numFmtId="166" fontId="6" fillId="2" borderId="0" xfId="0" applyNumberFormat="1" applyFont="1" applyFill="1" applyAlignment="1">
      <alignment horizontal="right"/>
    </xf>
    <xf numFmtId="0" fontId="10" fillId="3" borderId="0" xfId="0" applyFont="1" applyFill="1"/>
    <xf numFmtId="0" fontId="0" fillId="2" borderId="0" xfId="0" applyFill="1"/>
    <xf numFmtId="167" fontId="6" fillId="2" borderId="0" xfId="0" applyNumberFormat="1" applyFont="1" applyFill="1"/>
    <xf numFmtId="167" fontId="5" fillId="2" borderId="0" xfId="0" applyNumberFormat="1" applyFont="1" applyFill="1"/>
    <xf numFmtId="168" fontId="6" fillId="5" borderId="0" xfId="0" applyNumberFormat="1" applyFont="1" applyFill="1"/>
    <xf numFmtId="168" fontId="5" fillId="2" borderId="0" xfId="0" applyNumberFormat="1" applyFont="1" applyFill="1"/>
    <xf numFmtId="0" fontId="3" fillId="2" borderId="1" xfId="0" applyFont="1" applyFill="1" applyBorder="1"/>
    <xf numFmtId="168" fontId="11" fillId="2" borderId="1" xfId="0" applyNumberFormat="1" applyFont="1" applyFill="1" applyBorder="1"/>
    <xf numFmtId="168" fontId="0" fillId="2" borderId="0" xfId="0" applyNumberFormat="1" applyFill="1"/>
    <xf numFmtId="168" fontId="6" fillId="2" borderId="0" xfId="0" applyNumberFormat="1" applyFont="1" applyFill="1"/>
    <xf numFmtId="0" fontId="3" fillId="2" borderId="2" xfId="0" applyFont="1" applyFill="1" applyBorder="1"/>
    <xf numFmtId="168" fontId="11" fillId="2" borderId="2" xfId="0" applyNumberFormat="1" applyFont="1" applyFill="1" applyBorder="1"/>
    <xf numFmtId="169" fontId="0" fillId="2" borderId="0" xfId="0" applyNumberFormat="1" applyFill="1"/>
    <xf numFmtId="169" fontId="5" fillId="2" borderId="0" xfId="0" applyNumberFormat="1" applyFont="1" applyFill="1"/>
    <xf numFmtId="0" fontId="3" fillId="2" borderId="0" xfId="0" applyFont="1" applyFill="1"/>
    <xf numFmtId="170" fontId="0" fillId="2" borderId="0" xfId="0" applyNumberFormat="1" applyFill="1"/>
    <xf numFmtId="170" fontId="5" fillId="2" borderId="0" xfId="0" applyNumberFormat="1" applyFont="1" applyFill="1"/>
    <xf numFmtId="170" fontId="6" fillId="5" borderId="0" xfId="0" applyNumberFormat="1" applyFont="1" applyFill="1"/>
    <xf numFmtId="170" fontId="6" fillId="2" borderId="0" xfId="0" applyNumberFormat="1" applyFont="1" applyFill="1"/>
    <xf numFmtId="170" fontId="5" fillId="5" borderId="0" xfId="0" applyNumberFormat="1" applyFont="1" applyFill="1" applyBorder="1" applyAlignment="1"/>
    <xf numFmtId="0" fontId="12" fillId="2" borderId="0" xfId="0" applyFont="1" applyFill="1"/>
    <xf numFmtId="167" fontId="0" fillId="2" borderId="0" xfId="0" applyNumberFormat="1" applyFill="1"/>
    <xf numFmtId="168" fontId="5" fillId="5" borderId="0" xfId="0" applyNumberFormat="1" applyFont="1" applyFill="1"/>
    <xf numFmtId="168" fontId="11" fillId="5" borderId="3" xfId="0" applyNumberFormat="1" applyFont="1" applyFill="1" applyBorder="1"/>
    <xf numFmtId="0" fontId="13" fillId="2" borderId="0" xfId="0" applyFont="1" applyFill="1"/>
    <xf numFmtId="168" fontId="14" fillId="2" borderId="0" xfId="0" applyNumberFormat="1" applyFont="1" applyFill="1" applyAlignment="1">
      <alignment horizontal="center"/>
    </xf>
    <xf numFmtId="171" fontId="5" fillId="2" borderId="0" xfId="0" applyNumberFormat="1" applyFont="1" applyFill="1"/>
    <xf numFmtId="0" fontId="0" fillId="2" borderId="0" xfId="0" applyFill="1" applyAlignment="1">
      <alignment horizontal="left"/>
    </xf>
    <xf numFmtId="0" fontId="0" fillId="2" borderId="0" xfId="0" applyFont="1" applyFill="1"/>
    <xf numFmtId="0" fontId="15" fillId="2" borderId="0" xfId="0" applyFont="1" applyFill="1"/>
    <xf numFmtId="170" fontId="5" fillId="2" borderId="0" xfId="1" applyNumberFormat="1" applyFont="1" applyFill="1"/>
    <xf numFmtId="168" fontId="11" fillId="2" borderId="4" xfId="0" applyNumberFormat="1" applyFont="1" applyFill="1" applyBorder="1"/>
    <xf numFmtId="168" fontId="6" fillId="5" borderId="5" xfId="0" applyNumberFormat="1" applyFont="1" applyFill="1" applyBorder="1" applyAlignment="1"/>
    <xf numFmtId="168" fontId="5" fillId="5" borderId="0" xfId="0" applyNumberFormat="1" applyFont="1" applyFill="1" applyBorder="1" applyAlignment="1"/>
    <xf numFmtId="0" fontId="5" fillId="5" borderId="0" xfId="0" applyNumberFormat="1" applyFont="1" applyFill="1" applyBorder="1" applyAlignment="1"/>
    <xf numFmtId="169" fontId="6" fillId="5" borderId="0" xfId="0" applyNumberFormat="1" applyFont="1" applyFill="1" applyBorder="1" applyAlignment="1"/>
    <xf numFmtId="0" fontId="0" fillId="4" borderId="0" xfId="0" applyFill="1"/>
    <xf numFmtId="0" fontId="16" fillId="4" borderId="0" xfId="0" applyFont="1" applyFill="1"/>
    <xf numFmtId="172" fontId="5" fillId="2" borderId="0" xfId="0" applyNumberFormat="1" applyFont="1" applyFill="1"/>
    <xf numFmtId="0" fontId="13" fillId="2" borderId="1" xfId="0" applyFont="1" applyFill="1" applyBorder="1"/>
    <xf numFmtId="168" fontId="3" fillId="2" borderId="1" xfId="0" applyNumberFormat="1" applyFont="1" applyFill="1" applyBorder="1"/>
    <xf numFmtId="0" fontId="0" fillId="2" borderId="0" xfId="0" applyFill="1" applyAlignment="1">
      <alignment horizontal="left" indent="1"/>
    </xf>
    <xf numFmtId="0" fontId="0" fillId="2" borderId="0" xfId="0" quotePrefix="1" applyFill="1" applyAlignment="1">
      <alignment horizontal="left" indent="1"/>
    </xf>
    <xf numFmtId="0" fontId="17" fillId="2" borderId="0" xfId="0" applyFont="1" applyFill="1"/>
    <xf numFmtId="0" fontId="3" fillId="2" borderId="1" xfId="0" applyFont="1" applyFill="1" applyBorder="1" applyAlignment="1">
      <alignment horizontal="left" indent="1"/>
    </xf>
    <xf numFmtId="0" fontId="17" fillId="2" borderId="1" xfId="0" applyFont="1" applyFill="1" applyBorder="1"/>
    <xf numFmtId="168" fontId="4" fillId="2" borderId="0" xfId="0" applyNumberFormat="1" applyFont="1" applyFill="1"/>
    <xf numFmtId="168" fontId="17" fillId="2" borderId="1" xfId="0" applyNumberFormat="1" applyFont="1" applyFill="1" applyBorder="1"/>
    <xf numFmtId="0" fontId="6" fillId="2" borderId="0" xfId="0" applyFont="1" applyFill="1"/>
    <xf numFmtId="170" fontId="5" fillId="5" borderId="0" xfId="0" applyNumberFormat="1" applyFont="1" applyFill="1"/>
    <xf numFmtId="0" fontId="17" fillId="2" borderId="0" xfId="0" applyFont="1" applyFill="1" applyBorder="1"/>
    <xf numFmtId="168" fontId="17" fillId="2" borderId="0" xfId="0" applyNumberFormat="1" applyFont="1" applyFill="1" applyBorder="1"/>
    <xf numFmtId="0" fontId="4" fillId="2" borderId="1" xfId="0" applyFont="1" applyFill="1" applyBorder="1"/>
    <xf numFmtId="0" fontId="17" fillId="2" borderId="2" xfId="0" applyFont="1" applyFill="1" applyBorder="1"/>
    <xf numFmtId="0" fontId="4" fillId="2" borderId="2" xfId="0" applyFont="1" applyFill="1" applyBorder="1"/>
    <xf numFmtId="168" fontId="17" fillId="2" borderId="2" xfId="0" applyNumberFormat="1" applyFont="1" applyFill="1" applyBorder="1"/>
    <xf numFmtId="167" fontId="4" fillId="2" borderId="0" xfId="0" applyNumberFormat="1" applyFont="1" applyFill="1"/>
    <xf numFmtId="167" fontId="5" fillId="5" borderId="0" xfId="0" applyNumberFormat="1" applyFont="1" applyFill="1" applyBorder="1" applyAlignment="1"/>
    <xf numFmtId="168" fontId="11" fillId="5" borderId="6" xfId="0" applyNumberFormat="1" applyFont="1" applyFill="1" applyBorder="1" applyAlignment="1"/>
    <xf numFmtId="0" fontId="5" fillId="5" borderId="7" xfId="0" applyNumberFormat="1" applyFont="1" applyFill="1" applyBorder="1" applyAlignment="1"/>
    <xf numFmtId="168" fontId="11" fillId="5" borderId="7" xfId="0" applyNumberFormat="1" applyFont="1" applyFill="1" applyBorder="1" applyAlignment="1"/>
    <xf numFmtId="0" fontId="0" fillId="2" borderId="0" xfId="0" applyFill="1" applyAlignment="1">
      <alignment horizontal="right"/>
    </xf>
    <xf numFmtId="0" fontId="0" fillId="2" borderId="1" xfId="0" applyFill="1" applyBorder="1"/>
    <xf numFmtId="0" fontId="12" fillId="2" borderId="0" xfId="0" quotePrefix="1" applyFont="1" applyFill="1"/>
    <xf numFmtId="0" fontId="2" fillId="4" borderId="0" xfId="0" applyFont="1" applyFill="1" applyAlignment="1">
      <alignment horizontal="center"/>
    </xf>
    <xf numFmtId="0" fontId="2" fillId="3" borderId="0" xfId="0" applyFont="1" applyFill="1" applyAlignment="1">
      <alignment horizontal="center"/>
    </xf>
    <xf numFmtId="0" fontId="2" fillId="3" borderId="0" xfId="0" applyFont="1" applyFill="1" applyAlignment="1">
      <alignment horizontal="center"/>
    </xf>
    <xf numFmtId="0" fontId="0" fillId="2" borderId="0" xfId="0" quotePrefix="1" applyFill="1"/>
    <xf numFmtId="168" fontId="18" fillId="2" borderId="1" xfId="0" applyNumberFormat="1" applyFont="1" applyFill="1" applyBorder="1"/>
    <xf numFmtId="173" fontId="5" fillId="2" borderId="0" xfId="0" applyNumberFormat="1" applyFont="1" applyFill="1"/>
    <xf numFmtId="173" fontId="6" fillId="2" borderId="0" xfId="0" applyNumberFormat="1" applyFont="1" applyFill="1"/>
    <xf numFmtId="169" fontId="6" fillId="2" borderId="0" xfId="0" applyNumberFormat="1" applyFont="1" applyFill="1"/>
    <xf numFmtId="168" fontId="5" fillId="5" borderId="5" xfId="0" applyNumberFormat="1" applyFont="1" applyFill="1" applyBorder="1" applyAlignment="1"/>
    <xf numFmtId="169" fontId="19" fillId="2" borderId="0" xfId="0" applyNumberFormat="1" applyFont="1" applyFill="1"/>
    <xf numFmtId="14" fontId="19" fillId="2" borderId="0" xfId="0" applyNumberFormat="1" applyFont="1" applyFill="1"/>
    <xf numFmtId="14" fontId="2" fillId="2" borderId="0" xfId="0" applyNumberFormat="1" applyFont="1" applyFill="1" applyAlignment="1">
      <alignment horizontal="center"/>
    </xf>
    <xf numFmtId="168" fontId="19" fillId="2" borderId="0" xfId="0" applyNumberFormat="1" applyFont="1" applyFill="1"/>
    <xf numFmtId="170" fontId="20" fillId="2" borderId="0" xfId="0" applyNumberFormat="1" applyFont="1" applyFill="1"/>
    <xf numFmtId="170" fontId="14" fillId="2" borderId="0" xfId="0" applyNumberFormat="1" applyFont="1" applyFill="1"/>
    <xf numFmtId="174" fontId="6" fillId="2" borderId="0" xfId="0" applyNumberFormat="1" applyFont="1" applyFill="1"/>
    <xf numFmtId="170" fontId="15" fillId="2" borderId="0" xfId="0" applyNumberFormat="1" applyFont="1" applyFill="1"/>
    <xf numFmtId="174" fontId="15" fillId="2" borderId="0" xfId="0" applyNumberFormat="1" applyFont="1" applyFill="1"/>
    <xf numFmtId="0" fontId="3" fillId="2" borderId="4" xfId="0" applyFont="1" applyFill="1" applyBorder="1" applyAlignment="1">
      <alignment horizontal="center"/>
    </xf>
    <xf numFmtId="168" fontId="0" fillId="2" borderId="0" xfId="0" applyNumberFormat="1" applyFill="1" applyAlignment="1">
      <alignment horizontal="center"/>
    </xf>
    <xf numFmtId="168" fontId="0" fillId="2" borderId="8" xfId="0" applyNumberFormat="1" applyFill="1" applyBorder="1" applyAlignment="1">
      <alignment horizontal="center"/>
    </xf>
    <xf numFmtId="168" fontId="0" fillId="2" borderId="4" xfId="0" applyNumberFormat="1" applyFill="1" applyBorder="1" applyAlignment="1">
      <alignment horizontal="center"/>
    </xf>
    <xf numFmtId="168" fontId="3" fillId="2" borderId="1" xfId="0" applyNumberFormat="1" applyFont="1" applyFill="1" applyBorder="1" applyAlignment="1">
      <alignment horizontal="center"/>
    </xf>
    <xf numFmtId="0" fontId="0" fillId="2" borderId="0" xfId="0" applyFill="1" applyAlignment="1">
      <alignment horizontal="center"/>
    </xf>
    <xf numFmtId="0" fontId="0" fillId="2" borderId="8" xfId="0" applyFill="1" applyBorder="1" applyAlignment="1">
      <alignment horizontal="center"/>
    </xf>
    <xf numFmtId="169" fontId="3" fillId="2" borderId="1" xfId="0" applyNumberFormat="1" applyFont="1" applyFill="1" applyBorder="1" applyAlignment="1">
      <alignment horizontal="center"/>
    </xf>
    <xf numFmtId="170" fontId="15" fillId="2" borderId="0" xfId="0" applyNumberFormat="1" applyFont="1" applyFill="1" applyAlignment="1">
      <alignment horizontal="center"/>
    </xf>
    <xf numFmtId="170" fontId="15" fillId="2" borderId="8" xfId="0" applyNumberFormat="1" applyFont="1" applyFill="1" applyBorder="1" applyAlignment="1">
      <alignment horizontal="center"/>
    </xf>
    <xf numFmtId="170" fontId="11" fillId="2" borderId="1" xfId="0" applyNumberFormat="1" applyFont="1" applyFill="1" applyBorder="1"/>
    <xf numFmtId="0" fontId="21" fillId="3" borderId="0" xfId="0" applyFont="1" applyFill="1"/>
    <xf numFmtId="176" fontId="5" fillId="6" borderId="9" xfId="0" applyNumberFormat="1" applyFont="1" applyFill="1" applyBorder="1"/>
    <xf numFmtId="176" fontId="5" fillId="6" borderId="8" xfId="0" applyNumberFormat="1" applyFont="1" applyFill="1" applyBorder="1"/>
    <xf numFmtId="176" fontId="5" fillId="6" borderId="10" xfId="0" applyNumberFormat="1" applyFont="1" applyFill="1" applyBorder="1"/>
    <xf numFmtId="176" fontId="5" fillId="6" borderId="11" xfId="0" applyNumberFormat="1" applyFont="1" applyFill="1" applyBorder="1"/>
    <xf numFmtId="176" fontId="5" fillId="6" borderId="12" xfId="0" applyNumberFormat="1" applyFont="1" applyFill="1" applyBorder="1"/>
    <xf numFmtId="176" fontId="5" fillId="6" borderId="13" xfId="0" applyNumberFormat="1" applyFont="1" applyFill="1" applyBorder="1"/>
    <xf numFmtId="176" fontId="5" fillId="6" borderId="4" xfId="0" applyNumberFormat="1" applyFont="1" applyFill="1" applyBorder="1"/>
    <xf numFmtId="176" fontId="5" fillId="6" borderId="14" xfId="0" applyNumberFormat="1" applyFont="1" applyFill="1" applyBorder="1"/>
    <xf numFmtId="176" fontId="5" fillId="6" borderId="0" xfId="0" applyNumberFormat="1" applyFont="1" applyFill="1" applyBorder="1"/>
    <xf numFmtId="14" fontId="6" fillId="2" borderId="0" xfId="0" applyNumberFormat="1" applyFont="1" applyFill="1"/>
    <xf numFmtId="9" fontId="6" fillId="2" borderId="0" xfId="0" applyNumberFormat="1" applyFont="1" applyFill="1" applyAlignment="1">
      <alignment horizontal="right"/>
    </xf>
    <xf numFmtId="169" fontId="5" fillId="2" borderId="0" xfId="0" applyNumberFormat="1" applyFont="1" applyFill="1" applyAlignment="1">
      <alignment horizontal="right"/>
    </xf>
    <xf numFmtId="168" fontId="6" fillId="2" borderId="0" xfId="0" applyNumberFormat="1" applyFont="1" applyFill="1" applyAlignment="1">
      <alignment horizontal="right"/>
    </xf>
    <xf numFmtId="168" fontId="5" fillId="2" borderId="0" xfId="0" applyNumberFormat="1" applyFont="1" applyFill="1" applyAlignment="1">
      <alignment horizontal="right"/>
    </xf>
    <xf numFmtId="177" fontId="0" fillId="2" borderId="0" xfId="0" applyNumberFormat="1" applyFill="1"/>
    <xf numFmtId="179" fontId="0" fillId="2" borderId="0" xfId="0" applyNumberFormat="1" applyFill="1"/>
    <xf numFmtId="170" fontId="6" fillId="2" borderId="0" xfId="0" applyNumberFormat="1" applyFont="1" applyFill="1" applyAlignment="1">
      <alignment horizontal="right"/>
    </xf>
    <xf numFmtId="178" fontId="5" fillId="2" borderId="0" xfId="0" applyNumberFormat="1" applyFont="1" applyFill="1" applyAlignment="1">
      <alignment horizontal="right"/>
    </xf>
    <xf numFmtId="171" fontId="5" fillId="2" borderId="0" xfId="0" applyNumberFormat="1" applyFont="1" applyFill="1" applyAlignment="1">
      <alignment horizontal="right"/>
    </xf>
    <xf numFmtId="170" fontId="19" fillId="2" borderId="0" xfId="0" applyNumberFormat="1" applyFont="1" applyFill="1"/>
    <xf numFmtId="9" fontId="5" fillId="2" borderId="0" xfId="0" applyNumberFormat="1" applyFont="1" applyFill="1" applyAlignment="1">
      <alignment horizontal="right"/>
    </xf>
    <xf numFmtId="170" fontId="5" fillId="2" borderId="0" xfId="0" applyNumberFormat="1" applyFont="1" applyFill="1" applyAlignment="1">
      <alignment horizontal="right"/>
    </xf>
    <xf numFmtId="0" fontId="19" fillId="2" borderId="0" xfId="0" applyFont="1" applyFill="1" applyAlignment="1">
      <alignment horizontal="right"/>
    </xf>
    <xf numFmtId="180" fontId="6" fillId="2" borderId="0" xfId="0" applyNumberFormat="1" applyFont="1" applyFill="1" applyAlignment="1">
      <alignment horizontal="right"/>
    </xf>
    <xf numFmtId="0" fontId="10" fillId="4" borderId="0" xfId="0" applyFont="1" applyFill="1"/>
    <xf numFmtId="0" fontId="2" fillId="4" borderId="0" xfId="0" applyFont="1" applyFill="1"/>
    <xf numFmtId="0" fontId="15" fillId="2" borderId="0" xfId="0" applyFont="1" applyFill="1" applyAlignment="1">
      <alignment horizontal="right"/>
    </xf>
    <xf numFmtId="0" fontId="22" fillId="2" borderId="0" xfId="0" applyFont="1" applyFill="1"/>
    <xf numFmtId="0" fontId="0" fillId="2" borderId="14" xfId="0" applyFill="1" applyBorder="1"/>
    <xf numFmtId="0" fontId="0" fillId="2" borderId="16" xfId="0" applyFill="1" applyBorder="1" applyAlignment="1">
      <alignment horizontal="center"/>
    </xf>
    <xf numFmtId="0" fontId="0" fillId="2" borderId="15" xfId="0" applyFill="1" applyBorder="1" applyAlignment="1">
      <alignment horizontal="center"/>
    </xf>
    <xf numFmtId="0" fontId="0" fillId="2" borderId="10" xfId="0" applyFill="1" applyBorder="1"/>
    <xf numFmtId="168" fontId="3" fillId="2" borderId="2" xfId="0" applyNumberFormat="1" applyFont="1" applyFill="1" applyBorder="1"/>
    <xf numFmtId="168" fontId="0" fillId="2" borderId="0" xfId="0" applyNumberFormat="1" applyFill="1" applyBorder="1"/>
    <xf numFmtId="0" fontId="3" fillId="2" borderId="12" xfId="0" applyFont="1" applyFill="1" applyBorder="1" applyAlignment="1">
      <alignment horizontal="center"/>
    </xf>
    <xf numFmtId="0" fontId="0" fillId="2" borderId="14" xfId="0" applyFill="1" applyBorder="1" applyAlignment="1">
      <alignment horizontal="center"/>
    </xf>
    <xf numFmtId="180" fontId="0" fillId="2" borderId="0" xfId="0" applyNumberFormat="1" applyFill="1"/>
    <xf numFmtId="170" fontId="0" fillId="2" borderId="0" xfId="0" applyNumberFormat="1" applyFont="1" applyFill="1"/>
    <xf numFmtId="168" fontId="14" fillId="5" borderId="0" xfId="0" applyNumberFormat="1" applyFont="1" applyFill="1" applyBorder="1" applyAlignment="1"/>
    <xf numFmtId="168" fontId="15" fillId="2" borderId="0" xfId="0" applyNumberFormat="1" applyFont="1" applyFill="1"/>
    <xf numFmtId="0" fontId="0" fillId="2" borderId="4" xfId="0" applyFill="1" applyBorder="1"/>
    <xf numFmtId="175" fontId="0" fillId="2" borderId="0" xfId="0" applyNumberFormat="1" applyFill="1"/>
    <xf numFmtId="171" fontId="0" fillId="2" borderId="0" xfId="0" applyNumberFormat="1" applyFill="1"/>
    <xf numFmtId="0" fontId="0" fillId="2" borderId="8" xfId="0" applyFill="1" applyBorder="1"/>
    <xf numFmtId="0" fontId="0" fillId="2" borderId="0" xfId="0" applyFill="1" applyAlignment="1"/>
    <xf numFmtId="0" fontId="5" fillId="2" borderId="0" xfId="0" applyFont="1" applyFill="1" applyAlignment="1"/>
    <xf numFmtId="0" fontId="3" fillId="2" borderId="0" xfId="0" applyFont="1" applyFill="1" applyAlignment="1"/>
    <xf numFmtId="0" fontId="3" fillId="2" borderId="0" xfId="0" applyFont="1" applyFill="1" applyAlignment="1">
      <alignment horizontal="center"/>
    </xf>
    <xf numFmtId="173" fontId="0" fillId="2" borderId="0" xfId="0" applyNumberFormat="1" applyFill="1"/>
    <xf numFmtId="0" fontId="0" fillId="2" borderId="9" xfId="0" applyFill="1" applyBorder="1"/>
    <xf numFmtId="0" fontId="0" fillId="2" borderId="11" xfId="0" applyFill="1" applyBorder="1"/>
    <xf numFmtId="0" fontId="0" fillId="2" borderId="0" xfId="0" applyFill="1" applyBorder="1"/>
    <xf numFmtId="0" fontId="0" fillId="2" borderId="13" xfId="0" applyFill="1" applyBorder="1"/>
    <xf numFmtId="169" fontId="0" fillId="2" borderId="8" xfId="0" applyNumberFormat="1" applyFill="1" applyBorder="1"/>
    <xf numFmtId="169" fontId="0" fillId="2" borderId="10" xfId="0" applyNumberFormat="1" applyFill="1" applyBorder="1"/>
    <xf numFmtId="173" fontId="0" fillId="2" borderId="0" xfId="0" applyNumberFormat="1" applyFill="1" applyBorder="1"/>
    <xf numFmtId="169" fontId="0" fillId="2" borderId="0" xfId="0" applyNumberFormat="1" applyFill="1" applyBorder="1"/>
    <xf numFmtId="170" fontId="0" fillId="2" borderId="0" xfId="0" applyNumberFormat="1" applyFill="1" applyBorder="1"/>
    <xf numFmtId="169" fontId="0" fillId="2" borderId="12" xfId="0" applyNumberFormat="1" applyFill="1" applyBorder="1"/>
    <xf numFmtId="170" fontId="0" fillId="2" borderId="12" xfId="0" applyNumberFormat="1" applyFill="1" applyBorder="1"/>
    <xf numFmtId="181" fontId="0" fillId="2" borderId="4" xfId="0" applyNumberFormat="1" applyFill="1" applyBorder="1" applyAlignment="1">
      <alignment horizontal="right"/>
    </xf>
    <xf numFmtId="181" fontId="0" fillId="2" borderId="14" xfId="0" applyNumberFormat="1" applyFill="1" applyBorder="1" applyAlignment="1">
      <alignment horizontal="right"/>
    </xf>
    <xf numFmtId="178" fontId="0" fillId="2" borderId="0" xfId="0" applyNumberFormat="1" applyFill="1"/>
    <xf numFmtId="173" fontId="0" fillId="2" borderId="9" xfId="0" applyNumberFormat="1" applyFill="1" applyBorder="1"/>
    <xf numFmtId="173" fontId="0" fillId="2" borderId="8" xfId="0" applyNumberFormat="1" applyFill="1" applyBorder="1"/>
    <xf numFmtId="173" fontId="0" fillId="2" borderId="10" xfId="0" applyNumberFormat="1" applyFill="1" applyBorder="1"/>
    <xf numFmtId="173" fontId="0" fillId="2" borderId="11" xfId="0" applyNumberFormat="1" applyFill="1" applyBorder="1"/>
    <xf numFmtId="173" fontId="0" fillId="2" borderId="12" xfId="0" applyNumberFormat="1" applyFill="1" applyBorder="1"/>
    <xf numFmtId="173" fontId="0" fillId="2" borderId="13" xfId="0" applyNumberFormat="1" applyFill="1" applyBorder="1"/>
    <xf numFmtId="173" fontId="0" fillId="2" borderId="4" xfId="0" applyNumberFormat="1" applyFill="1" applyBorder="1"/>
    <xf numFmtId="173" fontId="0" fillId="2" borderId="14" xfId="0" applyNumberFormat="1" applyFill="1" applyBorder="1"/>
    <xf numFmtId="0" fontId="23" fillId="4" borderId="0" xfId="0" applyFont="1" applyFill="1"/>
    <xf numFmtId="169" fontId="5" fillId="5" borderId="0" xfId="0" applyNumberFormat="1" applyFont="1" applyFill="1" applyBorder="1" applyAlignment="1"/>
    <xf numFmtId="169" fontId="19" fillId="2" borderId="0" xfId="0" applyNumberFormat="1" applyFont="1" applyFill="1" applyAlignment="1">
      <alignment horizontal="right"/>
    </xf>
    <xf numFmtId="14" fontId="19" fillId="2" borderId="0" xfId="0" applyNumberFormat="1" applyFont="1" applyFill="1" applyAlignment="1">
      <alignment horizontal="right"/>
    </xf>
    <xf numFmtId="182" fontId="0" fillId="2" borderId="0" xfId="0" applyNumberFormat="1" applyFill="1"/>
    <xf numFmtId="0" fontId="10" fillId="2" borderId="0" xfId="0" applyFont="1" applyFill="1"/>
    <xf numFmtId="170" fontId="0" fillId="2" borderId="4" xfId="0" applyNumberFormat="1" applyFill="1" applyBorder="1"/>
    <xf numFmtId="170" fontId="0" fillId="2" borderId="14" xfId="0" applyNumberFormat="1" applyFill="1" applyBorder="1"/>
    <xf numFmtId="0" fontId="24" fillId="2" borderId="0" xfId="0" applyFont="1" applyFill="1"/>
    <xf numFmtId="168" fontId="0" fillId="2" borderId="9" xfId="0" applyNumberFormat="1" applyFill="1" applyBorder="1"/>
    <xf numFmtId="171" fontId="0" fillId="2" borderId="10" xfId="0" applyNumberFormat="1" applyFill="1" applyBorder="1"/>
    <xf numFmtId="168" fontId="0" fillId="2" borderId="13" xfId="0" applyNumberFormat="1" applyFill="1" applyBorder="1"/>
    <xf numFmtId="171" fontId="0" fillId="2" borderId="14" xfId="0" applyNumberFormat="1" applyFill="1" applyBorder="1"/>
    <xf numFmtId="0" fontId="2" fillId="3" borderId="0" xfId="0" applyFont="1" applyFill="1" applyAlignment="1">
      <alignment horizontal="center"/>
    </xf>
    <xf numFmtId="0" fontId="2" fillId="4" borderId="0" xfId="0" applyFont="1" applyFill="1" applyAlignment="1">
      <alignment horizont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25" fillId="2" borderId="0" xfId="0" applyFont="1" applyFill="1" applyAlignment="1">
      <alignment horizontal="center"/>
    </xf>
    <xf numFmtId="0" fontId="4" fillId="2" borderId="0" xfId="0" applyFont="1" applyFill="1" applyAlignment="1" applyProtection="1">
      <alignment horizontal="right"/>
      <protection locked="0"/>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Contribution Analysis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stacked"/>
        <c:varyColors val="0"/>
        <c:ser>
          <c:idx val="0"/>
          <c:order val="0"/>
          <c:tx>
            <c:strRef>
              <c:f>CONTRIBUTION!$C$4</c:f>
              <c:strCache>
                <c:ptCount val="1"/>
                <c:pt idx="0">
                  <c:v>Xerox</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CONTRIBUTION!$B$17:$B$20</c:f>
              <c:strCache>
                <c:ptCount val="4"/>
                <c:pt idx="0">
                  <c:v>Revenue (FY+1)</c:v>
                </c:pt>
                <c:pt idx="1">
                  <c:v>EBITDA (FY+1)</c:v>
                </c:pt>
                <c:pt idx="2">
                  <c:v>Net income (FY+1)</c:v>
                </c:pt>
                <c:pt idx="3">
                  <c:v>Enterprise value</c:v>
                </c:pt>
              </c:strCache>
            </c:strRef>
          </c:cat>
          <c:val>
            <c:numRef>
              <c:f>CONTRIBUTION!$C$17:$C$20</c:f>
              <c:numCache>
                <c:formatCode>#,##0.0%;\(#,##0.0%\);"–";@</c:formatCode>
                <c:ptCount val="4"/>
                <c:pt idx="0">
                  <c:v>0.13367343929698328</c:v>
                </c:pt>
                <c:pt idx="1">
                  <c:v>0.13014903023459912</c:v>
                </c:pt>
                <c:pt idx="2">
                  <c:v>0.31379798207551252</c:v>
                </c:pt>
                <c:pt idx="3">
                  <c:v>0.1274505234048843</c:v>
                </c:pt>
              </c:numCache>
            </c:numRef>
          </c:val>
          <c:extLst>
            <c:ext xmlns:c16="http://schemas.microsoft.com/office/drawing/2014/chart" uri="{C3380CC4-5D6E-409C-BE32-E72D297353CC}">
              <c16:uniqueId val="{00000000-6B65-447D-8298-1F91ED9D0154}"/>
            </c:ext>
          </c:extLst>
        </c:ser>
        <c:ser>
          <c:idx val="1"/>
          <c:order val="1"/>
          <c:tx>
            <c:strRef>
              <c:f>CONTRIBUTION!$D$4</c:f>
              <c:strCache>
                <c:ptCount val="1"/>
                <c:pt idx="0">
                  <c:v>HP</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CONTRIBUTION!$B$17:$B$20</c:f>
              <c:strCache>
                <c:ptCount val="4"/>
                <c:pt idx="0">
                  <c:v>Revenue (FY+1)</c:v>
                </c:pt>
                <c:pt idx="1">
                  <c:v>EBITDA (FY+1)</c:v>
                </c:pt>
                <c:pt idx="2">
                  <c:v>Net income (FY+1)</c:v>
                </c:pt>
                <c:pt idx="3">
                  <c:v>Enterprise value</c:v>
                </c:pt>
              </c:strCache>
            </c:strRef>
          </c:cat>
          <c:val>
            <c:numRef>
              <c:f>CONTRIBUTION!$D$17:$D$20</c:f>
              <c:numCache>
                <c:formatCode>#,##0.0%;\(#,##0.0%\);"–";@</c:formatCode>
                <c:ptCount val="4"/>
                <c:pt idx="0">
                  <c:v>0.86632656070301672</c:v>
                </c:pt>
                <c:pt idx="1">
                  <c:v>0.86985096976540088</c:v>
                </c:pt>
                <c:pt idx="2">
                  <c:v>0.68620201792448754</c:v>
                </c:pt>
                <c:pt idx="3">
                  <c:v>0.87254947659511572</c:v>
                </c:pt>
              </c:numCache>
            </c:numRef>
          </c:val>
          <c:extLst>
            <c:ext xmlns:c16="http://schemas.microsoft.com/office/drawing/2014/chart" uri="{C3380CC4-5D6E-409C-BE32-E72D297353CC}">
              <c16:uniqueId val="{00000001-6B65-447D-8298-1F91ED9D0154}"/>
            </c:ext>
          </c:extLst>
        </c:ser>
        <c:dLbls>
          <c:dLblPos val="ctr"/>
          <c:showLegendKey val="0"/>
          <c:showVal val="1"/>
          <c:showCatName val="0"/>
          <c:showSerName val="0"/>
          <c:showPercent val="0"/>
          <c:showBubbleSize val="0"/>
        </c:dLbls>
        <c:gapWidth val="150"/>
        <c:overlap val="100"/>
        <c:axId val="801960352"/>
        <c:axId val="801962320"/>
      </c:barChart>
      <c:catAx>
        <c:axId val="80196035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01962320"/>
        <c:crosses val="autoZero"/>
        <c:auto val="1"/>
        <c:lblAlgn val="ctr"/>
        <c:lblOffset val="100"/>
        <c:noMultiLvlLbl val="0"/>
      </c:catAx>
      <c:valAx>
        <c:axId val="801962320"/>
        <c:scaling>
          <c:orientation val="minMax"/>
        </c:scaling>
        <c:delete val="0"/>
        <c:axPos val="b"/>
        <c:numFmt formatCode="#,##0.0%;\(#,##0.0%\);&quot;–&quot;;@"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01960352"/>
        <c:crosses val="autoZero"/>
        <c:crossBetween val="between"/>
      </c:valAx>
      <c:spPr>
        <a:noFill/>
        <a:ln w="25400">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Multiples Analysis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CONTRIBUTION!$C$4</c:f>
              <c:strCache>
                <c:ptCount val="1"/>
                <c:pt idx="0">
                  <c:v>Xerox</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CONTRIBUTION!$B$23:$B$25</c:f>
              <c:strCache>
                <c:ptCount val="3"/>
                <c:pt idx="0">
                  <c:v>Revenue (FY+1)</c:v>
                </c:pt>
                <c:pt idx="1">
                  <c:v>EBITDA (FY+1)</c:v>
                </c:pt>
                <c:pt idx="2">
                  <c:v>Net income (FY+1)</c:v>
                </c:pt>
              </c:strCache>
            </c:strRef>
          </c:cat>
          <c:val>
            <c:numRef>
              <c:f>CONTRIBUTION!$C$23:$C$25</c:f>
              <c:numCache>
                <c:formatCode>0.00\x;\(0.00\x\);"–"</c:formatCode>
                <c:ptCount val="3"/>
                <c:pt idx="0">
                  <c:v>0.58729165984103371</c:v>
                </c:pt>
                <c:pt idx="1">
                  <c:v>7.3520300088129105</c:v>
                </c:pt>
                <c:pt idx="2">
                  <c:v>3.0017658181261577</c:v>
                </c:pt>
              </c:numCache>
            </c:numRef>
          </c:val>
          <c:extLst>
            <c:ext xmlns:c16="http://schemas.microsoft.com/office/drawing/2014/chart" uri="{C3380CC4-5D6E-409C-BE32-E72D297353CC}">
              <c16:uniqueId val="{00000000-96C4-4E62-809B-1D39E86B9452}"/>
            </c:ext>
          </c:extLst>
        </c:ser>
        <c:ser>
          <c:idx val="1"/>
          <c:order val="1"/>
          <c:tx>
            <c:strRef>
              <c:f>CONTRIBUTION!$D$4</c:f>
              <c:strCache>
                <c:ptCount val="1"/>
                <c:pt idx="0">
                  <c:v>HP</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CONTRIBUTION!$B$23:$B$25</c:f>
              <c:strCache>
                <c:ptCount val="3"/>
                <c:pt idx="0">
                  <c:v>Revenue (FY+1)</c:v>
                </c:pt>
                <c:pt idx="1">
                  <c:v>EBITDA (FY+1)</c:v>
                </c:pt>
                <c:pt idx="2">
                  <c:v>Net income (FY+1)</c:v>
                </c:pt>
              </c:strCache>
            </c:strRef>
          </c:cat>
          <c:val>
            <c:numRef>
              <c:f>CONTRIBUTION!$D$23:$D$25</c:f>
              <c:numCache>
                <c:formatCode>0.00\x;\(0.00\x\);"–"</c:formatCode>
                <c:ptCount val="3"/>
                <c:pt idx="0">
                  <c:v>9.0618595345476408E-2</c:v>
                </c:pt>
                <c:pt idx="1">
                  <c:v>1.1000270266534702</c:v>
                </c:pt>
                <c:pt idx="2">
                  <c:v>1.3726978816534083</c:v>
                </c:pt>
              </c:numCache>
            </c:numRef>
          </c:val>
          <c:extLst>
            <c:ext xmlns:c16="http://schemas.microsoft.com/office/drawing/2014/chart" uri="{C3380CC4-5D6E-409C-BE32-E72D297353CC}">
              <c16:uniqueId val="{00000001-96C4-4E62-809B-1D39E86B9452}"/>
            </c:ext>
          </c:extLst>
        </c:ser>
        <c:ser>
          <c:idx val="2"/>
          <c:order val="2"/>
          <c:tx>
            <c:strRef>
              <c:f>CONTRIBUTION!$E$4</c:f>
              <c:strCache>
                <c:ptCount val="1"/>
                <c:pt idx="0">
                  <c:v>Pro forma</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CONTRIBUTION!$B$23:$B$25</c:f>
              <c:strCache>
                <c:ptCount val="3"/>
                <c:pt idx="0">
                  <c:v>Revenue (FY+1)</c:v>
                </c:pt>
                <c:pt idx="1">
                  <c:v>EBITDA (FY+1)</c:v>
                </c:pt>
                <c:pt idx="2">
                  <c:v>Net income (FY+1)</c:v>
                </c:pt>
              </c:strCache>
            </c:strRef>
          </c:cat>
          <c:val>
            <c:numRef>
              <c:f>CONTRIBUTION!$E$23:$E$25</c:f>
              <c:numCache>
                <c:formatCode>0.00\x;\(0.00\x\);"–"</c:formatCode>
                <c:ptCount val="3"/>
                <c:pt idx="0">
                  <c:v>0.61596683908460437</c:v>
                </c:pt>
                <c:pt idx="1">
                  <c:v>7.5076943612300742</c:v>
                </c:pt>
                <c:pt idx="2">
                  <c:v>9.9235459103670305</c:v>
                </c:pt>
              </c:numCache>
            </c:numRef>
          </c:val>
          <c:extLst>
            <c:ext xmlns:c16="http://schemas.microsoft.com/office/drawing/2014/chart" uri="{C3380CC4-5D6E-409C-BE32-E72D297353CC}">
              <c16:uniqueId val="{00000002-96C4-4E62-809B-1D39E86B9452}"/>
            </c:ext>
          </c:extLst>
        </c:ser>
        <c:dLbls>
          <c:dLblPos val="outEnd"/>
          <c:showLegendKey val="0"/>
          <c:showVal val="1"/>
          <c:showCatName val="0"/>
          <c:showSerName val="0"/>
          <c:showPercent val="0"/>
          <c:showBubbleSize val="0"/>
        </c:dLbls>
        <c:gapWidth val="219"/>
        <c:overlap val="-27"/>
        <c:axId val="911862216"/>
        <c:axId val="911860904"/>
      </c:barChart>
      <c:catAx>
        <c:axId val="9118622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1860904"/>
        <c:crosses val="autoZero"/>
        <c:auto val="1"/>
        <c:lblAlgn val="ctr"/>
        <c:lblOffset val="100"/>
        <c:noMultiLvlLbl val="0"/>
      </c:catAx>
      <c:valAx>
        <c:axId val="911860904"/>
        <c:scaling>
          <c:orientation val="minMax"/>
        </c:scaling>
        <c:delete val="0"/>
        <c:axPos val="l"/>
        <c:numFmt formatCode="0.00\x;\(0.00\x\);&quot;–&quot;"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18622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Implied HP Share Price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tint val="65000"/>
              </a:schemeClr>
            </a:solidFill>
            <a:ln>
              <a:noFill/>
            </a:ln>
            <a:effectLst/>
          </c:spPr>
          <c:invertIfNegative val="0"/>
          <c:cat>
            <c:strRef>
              <c:f>CONTRIBUTION!$B$49:$B$52</c:f>
              <c:strCache>
                <c:ptCount val="4"/>
                <c:pt idx="0">
                  <c:v>Revenue contribution (FY+1)</c:v>
                </c:pt>
                <c:pt idx="1">
                  <c:v>EBITDA contribution (FY+1)</c:v>
                </c:pt>
                <c:pt idx="2">
                  <c:v>Net income contribution (FY+1)</c:v>
                </c:pt>
                <c:pt idx="3">
                  <c:v>Offer price</c:v>
                </c:pt>
              </c:strCache>
            </c:strRef>
          </c:cat>
          <c:val>
            <c:numRef>
              <c:f>CONTRIBUTION!$C$49:$C$52</c:f>
              <c:numCache>
                <c:formatCode>General</c:formatCode>
                <c:ptCount val="4"/>
              </c:numCache>
            </c:numRef>
          </c:val>
          <c:extLst>
            <c:ext xmlns:c16="http://schemas.microsoft.com/office/drawing/2014/chart" uri="{C3380CC4-5D6E-409C-BE32-E72D297353CC}">
              <c16:uniqueId val="{00000000-9242-4081-8663-CF68FF0D41EB}"/>
            </c:ext>
          </c:extLst>
        </c:ser>
        <c:ser>
          <c:idx val="1"/>
          <c:order val="1"/>
          <c:spPr>
            <a:solidFill>
              <a:schemeClr val="accent1"/>
            </a:solidFill>
            <a:ln>
              <a:noFill/>
            </a:ln>
            <a:effectLst/>
          </c:spPr>
          <c:invertIfNegative val="0"/>
          <c:cat>
            <c:strRef>
              <c:f>CONTRIBUTION!$B$49:$B$52</c:f>
              <c:strCache>
                <c:ptCount val="4"/>
                <c:pt idx="0">
                  <c:v>Revenue contribution (FY+1)</c:v>
                </c:pt>
                <c:pt idx="1">
                  <c:v>EBITDA contribution (FY+1)</c:v>
                </c:pt>
                <c:pt idx="2">
                  <c:v>Net income contribution (FY+1)</c:v>
                </c:pt>
                <c:pt idx="3">
                  <c:v>Offer price</c:v>
                </c:pt>
              </c:strCache>
            </c:strRef>
          </c:cat>
          <c:val>
            <c:numRef>
              <c:f>CONTRIBUTION!$D$49:$D$52</c:f>
              <c:numCache>
                <c:formatCode>General</c:formatCode>
                <c:ptCount val="4"/>
              </c:numCache>
            </c:numRef>
          </c:val>
          <c:extLst>
            <c:ext xmlns:c16="http://schemas.microsoft.com/office/drawing/2014/chart" uri="{C3380CC4-5D6E-409C-BE32-E72D297353CC}">
              <c16:uniqueId val="{00000001-9242-4081-8663-CF68FF0D41EB}"/>
            </c:ext>
          </c:extLst>
        </c:ser>
        <c:ser>
          <c:idx val="2"/>
          <c:order val="2"/>
          <c:spPr>
            <a:solidFill>
              <a:schemeClr val="accent1">
                <a:shade val="65000"/>
              </a:schemeClr>
            </a:solidFill>
            <a:ln>
              <a:noFill/>
            </a:ln>
            <a:effectLst/>
          </c:spPr>
          <c:invertIfNegative val="0"/>
          <c:cat>
            <c:strRef>
              <c:f>CONTRIBUTION!$B$49:$B$52</c:f>
              <c:strCache>
                <c:ptCount val="4"/>
                <c:pt idx="0">
                  <c:v>Revenue contribution (FY+1)</c:v>
                </c:pt>
                <c:pt idx="1">
                  <c:v>EBITDA contribution (FY+1)</c:v>
                </c:pt>
                <c:pt idx="2">
                  <c:v>Net income contribution (FY+1)</c:v>
                </c:pt>
                <c:pt idx="3">
                  <c:v>Offer price</c:v>
                </c:pt>
              </c:strCache>
            </c:strRef>
          </c:cat>
          <c:val>
            <c:numRef>
              <c:f>CONTRIBUTION!$E$49:$E$52</c:f>
              <c:numCache>
                <c:formatCode>[$$]#,##0.00;\([$$]#,##0.00\);"–";@</c:formatCode>
                <c:ptCount val="4"/>
                <c:pt idx="0">
                  <c:v>22.709303053330693</c:v>
                </c:pt>
                <c:pt idx="1">
                  <c:v>23.424138707034036</c:v>
                </c:pt>
                <c:pt idx="2">
                  <c:v>5.5036852591344871</c:v>
                </c:pt>
                <c:pt idx="3">
                  <c:v>23.998184999999999</c:v>
                </c:pt>
              </c:numCache>
            </c:numRef>
          </c:val>
          <c:extLst>
            <c:ext xmlns:c16="http://schemas.microsoft.com/office/drawing/2014/chart" uri="{C3380CC4-5D6E-409C-BE32-E72D297353CC}">
              <c16:uniqueId val="{00000002-9242-4081-8663-CF68FF0D41EB}"/>
            </c:ext>
          </c:extLst>
        </c:ser>
        <c:dLbls>
          <c:showLegendKey val="0"/>
          <c:showVal val="0"/>
          <c:showCatName val="0"/>
          <c:showSerName val="0"/>
          <c:showPercent val="0"/>
          <c:showBubbleSize val="0"/>
        </c:dLbls>
        <c:gapWidth val="219"/>
        <c:overlap val="-27"/>
        <c:axId val="911859920"/>
        <c:axId val="911859592"/>
      </c:barChart>
      <c:catAx>
        <c:axId val="9118599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1859592"/>
        <c:crosses val="autoZero"/>
        <c:auto val="1"/>
        <c:lblAlgn val="ctr"/>
        <c:lblOffset val="100"/>
        <c:noMultiLvlLbl val="0"/>
      </c:catAx>
      <c:valAx>
        <c:axId val="911859592"/>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1185992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Fixed</a:t>
            </a:r>
            <a:r>
              <a:rPr lang="en-US" baseline="0"/>
              <a:t> Exchange Ratio</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spPr>
            <a:ln w="28575" cap="rnd">
              <a:solidFill>
                <a:schemeClr val="accent1"/>
              </a:solidFill>
              <a:round/>
            </a:ln>
            <a:effectLst/>
          </c:spPr>
          <c:marker>
            <c:symbol val="none"/>
          </c:marker>
          <c:cat>
            <c:numRef>
              <c:f>EXCHANGE!$F$6:$F$11</c:f>
              <c:numCache>
                <c:formatCode>[$$]#,##0;\([$$]#,##0\);"–";@</c:formatCode>
                <c:ptCount val="6"/>
                <c:pt idx="0">
                  <c:v>20</c:v>
                </c:pt>
                <c:pt idx="1">
                  <c:v>22</c:v>
                </c:pt>
                <c:pt idx="2">
                  <c:v>24</c:v>
                </c:pt>
                <c:pt idx="3">
                  <c:v>26</c:v>
                </c:pt>
                <c:pt idx="4">
                  <c:v>28</c:v>
                </c:pt>
                <c:pt idx="5">
                  <c:v>30</c:v>
                </c:pt>
              </c:numCache>
            </c:numRef>
          </c:cat>
          <c:val>
            <c:numRef>
              <c:f>EXCHANGE!$G$6:$G$11</c:f>
              <c:numCache>
                <c:formatCode>#,##0;\(#,##0\);"–";@</c:formatCode>
                <c:ptCount val="6"/>
                <c:pt idx="0">
                  <c:v>37842.730632218845</c:v>
                </c:pt>
                <c:pt idx="1">
                  <c:v>41627.003695440726</c:v>
                </c:pt>
                <c:pt idx="2">
                  <c:v>45411.276758662614</c:v>
                </c:pt>
                <c:pt idx="3">
                  <c:v>49195.549821884502</c:v>
                </c:pt>
                <c:pt idx="4">
                  <c:v>52979.822885106383</c:v>
                </c:pt>
                <c:pt idx="5">
                  <c:v>56764.095948328264</c:v>
                </c:pt>
              </c:numCache>
            </c:numRef>
          </c:val>
          <c:smooth val="0"/>
          <c:extLst>
            <c:ext xmlns:c16="http://schemas.microsoft.com/office/drawing/2014/chart" uri="{C3380CC4-5D6E-409C-BE32-E72D297353CC}">
              <c16:uniqueId val="{00000000-7655-4DAD-A203-C70C9336C929}"/>
            </c:ext>
          </c:extLst>
        </c:ser>
        <c:dLbls>
          <c:showLegendKey val="0"/>
          <c:showVal val="0"/>
          <c:showCatName val="0"/>
          <c:showSerName val="0"/>
          <c:showPercent val="0"/>
          <c:showBubbleSize val="0"/>
        </c:dLbls>
        <c:smooth val="0"/>
        <c:axId val="591332264"/>
        <c:axId val="591336856"/>
      </c:lineChart>
      <c:catAx>
        <c:axId val="591332264"/>
        <c:scaling>
          <c:orientation val="minMax"/>
        </c:scaling>
        <c:delete val="0"/>
        <c:axPos val="b"/>
        <c:numFmt formatCode="[$$]#,##0;\([$$]#,##0\);&quot;–&quot;;@"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91336856"/>
        <c:crosses val="autoZero"/>
        <c:auto val="1"/>
        <c:lblAlgn val="ctr"/>
        <c:lblOffset val="100"/>
        <c:noMultiLvlLbl val="0"/>
      </c:catAx>
      <c:valAx>
        <c:axId val="591336856"/>
        <c:scaling>
          <c:orientation val="minMax"/>
        </c:scaling>
        <c:delete val="0"/>
        <c:axPos val="l"/>
        <c:numFmt formatCode="#,##0;\(#,##0\);&quot;–&quot;;@"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9133226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Floating Exchange Ratio</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EXCHANGE!$I$4:$I$5</c:f>
              <c:strCache>
                <c:ptCount val="2"/>
                <c:pt idx="0">
                  <c:v>Fixed Exchange Ratio</c:v>
                </c:pt>
                <c:pt idx="1">
                  <c:v>Exchange Ratio</c:v>
                </c:pt>
              </c:strCache>
            </c:strRef>
          </c:tx>
          <c:spPr>
            <a:ln w="28575" cap="rnd">
              <a:solidFill>
                <a:schemeClr val="accent1"/>
              </a:solidFill>
              <a:round/>
            </a:ln>
            <a:effectLst/>
          </c:spPr>
          <c:marker>
            <c:symbol val="none"/>
          </c:marker>
          <c:cat>
            <c:numRef>
              <c:f>EXCHANGE!$F$6:$F$11</c:f>
              <c:numCache>
                <c:formatCode>[$$]#,##0;\([$$]#,##0\);"–";@</c:formatCode>
                <c:ptCount val="6"/>
                <c:pt idx="0">
                  <c:v>20</c:v>
                </c:pt>
                <c:pt idx="1">
                  <c:v>22</c:v>
                </c:pt>
                <c:pt idx="2">
                  <c:v>24</c:v>
                </c:pt>
                <c:pt idx="3">
                  <c:v>26</c:v>
                </c:pt>
                <c:pt idx="4">
                  <c:v>28</c:v>
                </c:pt>
                <c:pt idx="5">
                  <c:v>30</c:v>
                </c:pt>
              </c:numCache>
            </c:numRef>
          </c:cat>
          <c:val>
            <c:numRef>
              <c:f>EXCHANGE!$I$6:$I$11</c:f>
              <c:numCache>
                <c:formatCode>General</c:formatCode>
                <c:ptCount val="6"/>
              </c:numCache>
            </c:numRef>
          </c:val>
          <c:smooth val="0"/>
          <c:extLst>
            <c:ext xmlns:c16="http://schemas.microsoft.com/office/drawing/2014/chart" uri="{C3380CC4-5D6E-409C-BE32-E72D297353CC}">
              <c16:uniqueId val="{00000000-9CD1-404B-9F58-B8CE6BF0E83A}"/>
            </c:ext>
          </c:extLst>
        </c:ser>
        <c:ser>
          <c:idx val="1"/>
          <c:order val="1"/>
          <c:tx>
            <c:strRef>
              <c:f>EXCHANGE!$J$4:$J$5</c:f>
              <c:strCache>
                <c:ptCount val="2"/>
                <c:pt idx="0">
                  <c:v>Floating Exchange Ratio</c:v>
                </c:pt>
                <c:pt idx="1">
                  <c:v>Offer Value</c:v>
                </c:pt>
              </c:strCache>
            </c:strRef>
          </c:tx>
          <c:spPr>
            <a:ln w="28575" cap="rnd">
              <a:solidFill>
                <a:schemeClr val="accent2"/>
              </a:solidFill>
              <a:round/>
            </a:ln>
            <a:effectLst/>
          </c:spPr>
          <c:marker>
            <c:symbol val="none"/>
          </c:marker>
          <c:cat>
            <c:numRef>
              <c:f>EXCHANGE!$F$6:$F$11</c:f>
              <c:numCache>
                <c:formatCode>[$$]#,##0;\([$$]#,##0\);"–";@</c:formatCode>
                <c:ptCount val="6"/>
                <c:pt idx="0">
                  <c:v>20</c:v>
                </c:pt>
                <c:pt idx="1">
                  <c:v>22</c:v>
                </c:pt>
                <c:pt idx="2">
                  <c:v>24</c:v>
                </c:pt>
                <c:pt idx="3">
                  <c:v>26</c:v>
                </c:pt>
                <c:pt idx="4">
                  <c:v>28</c:v>
                </c:pt>
                <c:pt idx="5">
                  <c:v>30</c:v>
                </c:pt>
              </c:numCache>
            </c:numRef>
          </c:cat>
          <c:val>
            <c:numRef>
              <c:f>EXCHANGE!$J$6:$J$11</c:f>
              <c:numCache>
                <c:formatCode>#,##0;\(#,##0\);"–";@</c:formatCode>
                <c:ptCount val="6"/>
                <c:pt idx="0">
                  <c:v>31125.645945</c:v>
                </c:pt>
                <c:pt idx="1">
                  <c:v>31125.645945</c:v>
                </c:pt>
                <c:pt idx="2">
                  <c:v>31125.645945</c:v>
                </c:pt>
                <c:pt idx="3">
                  <c:v>31125.645945</c:v>
                </c:pt>
                <c:pt idx="4">
                  <c:v>31125.645945</c:v>
                </c:pt>
                <c:pt idx="5">
                  <c:v>31125.645945</c:v>
                </c:pt>
              </c:numCache>
            </c:numRef>
          </c:val>
          <c:smooth val="0"/>
          <c:extLst>
            <c:ext xmlns:c16="http://schemas.microsoft.com/office/drawing/2014/chart" uri="{C3380CC4-5D6E-409C-BE32-E72D297353CC}">
              <c16:uniqueId val="{00000001-9CD1-404B-9F58-B8CE6BF0E83A}"/>
            </c:ext>
          </c:extLst>
        </c:ser>
        <c:dLbls>
          <c:showLegendKey val="0"/>
          <c:showVal val="0"/>
          <c:showCatName val="0"/>
          <c:showSerName val="0"/>
          <c:showPercent val="0"/>
          <c:showBubbleSize val="0"/>
        </c:dLbls>
        <c:smooth val="0"/>
        <c:axId val="593642112"/>
        <c:axId val="593637848"/>
      </c:lineChart>
      <c:catAx>
        <c:axId val="593642112"/>
        <c:scaling>
          <c:orientation val="minMax"/>
        </c:scaling>
        <c:delete val="0"/>
        <c:axPos val="b"/>
        <c:numFmt formatCode="[$$]#,##0;\([$$]#,##0\);&quot;–&quot;;@"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93637848"/>
        <c:crosses val="autoZero"/>
        <c:auto val="1"/>
        <c:lblAlgn val="ctr"/>
        <c:lblOffset val="100"/>
        <c:noMultiLvlLbl val="0"/>
      </c:catAx>
      <c:valAx>
        <c:axId val="593637848"/>
        <c:scaling>
          <c:orientation val="minMax"/>
        </c:scaling>
        <c:delete val="0"/>
        <c:axPos val="l"/>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9364211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Fixed Exchange w/Collar</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EXCHANGE!$M$4:$M$5</c:f>
              <c:strCache>
                <c:ptCount val="2"/>
                <c:pt idx="0">
                  <c:v>Fixed Exchange w/Collar</c:v>
                </c:pt>
                <c:pt idx="1">
                  <c:v>Offer Value</c:v>
                </c:pt>
              </c:strCache>
            </c:strRef>
          </c:tx>
          <c:spPr>
            <a:ln w="28575" cap="rnd">
              <a:solidFill>
                <a:schemeClr val="accent1"/>
              </a:solidFill>
              <a:round/>
            </a:ln>
            <a:effectLst/>
          </c:spPr>
          <c:marker>
            <c:symbol val="none"/>
          </c:marker>
          <c:cat>
            <c:numRef>
              <c:f>EXCHANGE!$F$6:$F$11</c:f>
              <c:numCache>
                <c:formatCode>[$$]#,##0;\([$$]#,##0\);"–";@</c:formatCode>
                <c:ptCount val="6"/>
                <c:pt idx="0">
                  <c:v>20</c:v>
                </c:pt>
                <c:pt idx="1">
                  <c:v>22</c:v>
                </c:pt>
                <c:pt idx="2">
                  <c:v>24</c:v>
                </c:pt>
                <c:pt idx="3">
                  <c:v>26</c:v>
                </c:pt>
                <c:pt idx="4">
                  <c:v>28</c:v>
                </c:pt>
                <c:pt idx="5">
                  <c:v>30</c:v>
                </c:pt>
              </c:numCache>
            </c:numRef>
          </c:cat>
          <c:val>
            <c:numRef>
              <c:f>EXCHANGE!$M$6:$M$11</c:f>
              <c:numCache>
                <c:formatCode>#,##0;\(#,##0\);"–";@</c:formatCode>
                <c:ptCount val="6"/>
                <c:pt idx="0">
                  <c:v>31125.645945</c:v>
                </c:pt>
                <c:pt idx="1">
                  <c:v>31125.645945</c:v>
                </c:pt>
                <c:pt idx="2">
                  <c:v>45411.276758662614</c:v>
                </c:pt>
                <c:pt idx="3">
                  <c:v>49195.549821884502</c:v>
                </c:pt>
                <c:pt idx="4">
                  <c:v>49195.549821884502</c:v>
                </c:pt>
                <c:pt idx="5">
                  <c:v>49195.549821884502</c:v>
                </c:pt>
              </c:numCache>
            </c:numRef>
          </c:val>
          <c:smooth val="0"/>
          <c:extLst>
            <c:ext xmlns:c16="http://schemas.microsoft.com/office/drawing/2014/chart" uri="{C3380CC4-5D6E-409C-BE32-E72D297353CC}">
              <c16:uniqueId val="{00000000-5BA5-4A91-8533-1F88EC6A4A5C}"/>
            </c:ext>
          </c:extLst>
        </c:ser>
        <c:dLbls>
          <c:showLegendKey val="0"/>
          <c:showVal val="0"/>
          <c:showCatName val="0"/>
          <c:showSerName val="0"/>
          <c:showPercent val="0"/>
          <c:showBubbleSize val="0"/>
        </c:dLbls>
        <c:smooth val="0"/>
        <c:axId val="593648672"/>
        <c:axId val="593649656"/>
      </c:lineChart>
      <c:catAx>
        <c:axId val="593648672"/>
        <c:scaling>
          <c:orientation val="minMax"/>
        </c:scaling>
        <c:delete val="0"/>
        <c:axPos val="b"/>
        <c:numFmt formatCode="[$$]#,##0;\([$$]#,##0\);&quot;–&quot;;@"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93649656"/>
        <c:crosses val="autoZero"/>
        <c:auto val="1"/>
        <c:lblAlgn val="ctr"/>
        <c:lblOffset val="100"/>
        <c:noMultiLvlLbl val="0"/>
      </c:catAx>
      <c:valAx>
        <c:axId val="593649656"/>
        <c:scaling>
          <c:orientation val="minMax"/>
        </c:scaling>
        <c:delete val="0"/>
        <c:axPos val="l"/>
        <c:numFmt formatCode="#,##0;\(#,##0\);&quot;–&quot;;@"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9364867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Floating Exchange w/Collar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EXCHANGE!$P$4:$P$5</c:f>
              <c:strCache>
                <c:ptCount val="2"/>
                <c:pt idx="0">
                  <c:v>Floating Exchange w/Collar</c:v>
                </c:pt>
                <c:pt idx="1">
                  <c:v>Offer Value</c:v>
                </c:pt>
              </c:strCache>
            </c:strRef>
          </c:tx>
          <c:spPr>
            <a:ln w="28575" cap="rnd">
              <a:solidFill>
                <a:schemeClr val="accent1"/>
              </a:solidFill>
              <a:round/>
            </a:ln>
            <a:effectLst/>
          </c:spPr>
          <c:marker>
            <c:symbol val="none"/>
          </c:marker>
          <c:cat>
            <c:numRef>
              <c:f>EXCHANGE!$F$6:$F$11</c:f>
              <c:numCache>
                <c:formatCode>[$$]#,##0;\([$$]#,##0\);"–";@</c:formatCode>
                <c:ptCount val="6"/>
                <c:pt idx="0">
                  <c:v>20</c:v>
                </c:pt>
                <c:pt idx="1">
                  <c:v>22</c:v>
                </c:pt>
                <c:pt idx="2">
                  <c:v>24</c:v>
                </c:pt>
                <c:pt idx="3">
                  <c:v>26</c:v>
                </c:pt>
                <c:pt idx="4">
                  <c:v>28</c:v>
                </c:pt>
                <c:pt idx="5">
                  <c:v>30</c:v>
                </c:pt>
              </c:numCache>
            </c:numRef>
          </c:cat>
          <c:val>
            <c:numRef>
              <c:f>EXCHANGE!$P$6:$P$11</c:f>
              <c:numCache>
                <c:formatCode>#,##0;\(#,##0\);"–";@</c:formatCode>
                <c:ptCount val="6"/>
                <c:pt idx="0">
                  <c:v>23942.804573076923</c:v>
                </c:pt>
                <c:pt idx="1">
                  <c:v>26337.085030384613</c:v>
                </c:pt>
                <c:pt idx="2">
                  <c:v>31125.645945</c:v>
                </c:pt>
                <c:pt idx="3">
                  <c:v>31125.645945</c:v>
                </c:pt>
                <c:pt idx="4">
                  <c:v>33519.92640230769</c:v>
                </c:pt>
                <c:pt idx="5">
                  <c:v>35914.206859615384</c:v>
                </c:pt>
              </c:numCache>
            </c:numRef>
          </c:val>
          <c:smooth val="0"/>
          <c:extLst>
            <c:ext xmlns:c16="http://schemas.microsoft.com/office/drawing/2014/chart" uri="{C3380CC4-5D6E-409C-BE32-E72D297353CC}">
              <c16:uniqueId val="{00000000-6E04-4A1D-8ABD-D0B5F170CB0E}"/>
            </c:ext>
          </c:extLst>
        </c:ser>
        <c:dLbls>
          <c:showLegendKey val="0"/>
          <c:showVal val="0"/>
          <c:showCatName val="0"/>
          <c:showSerName val="0"/>
          <c:showPercent val="0"/>
          <c:showBubbleSize val="0"/>
        </c:dLbls>
        <c:smooth val="0"/>
        <c:axId val="981211376"/>
        <c:axId val="981210720"/>
      </c:lineChart>
      <c:catAx>
        <c:axId val="981211376"/>
        <c:scaling>
          <c:orientation val="minMax"/>
        </c:scaling>
        <c:delete val="0"/>
        <c:axPos val="b"/>
        <c:numFmt formatCode="[$$]#,##0;\([$$]#,##0\);&quot;–&quot;;@"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81210720"/>
        <c:crosses val="autoZero"/>
        <c:auto val="1"/>
        <c:lblAlgn val="ctr"/>
        <c:lblOffset val="100"/>
        <c:noMultiLvlLbl val="0"/>
      </c:catAx>
      <c:valAx>
        <c:axId val="981210720"/>
        <c:scaling>
          <c:orientation val="minMax"/>
        </c:scaling>
        <c:delete val="0"/>
        <c:axPos val="l"/>
        <c:numFmt formatCode="#,##0;\(#,##0\);&quot;–&quot;;@"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8121137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withinLinearReversed" id="21">
  <a:schemeClr val="accent1"/>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4"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editAs="oneCell">
    <xdr:from>
      <xdr:col>0</xdr:col>
      <xdr:colOff>87313</xdr:colOff>
      <xdr:row>8</xdr:row>
      <xdr:rowOff>55564</xdr:rowOff>
    </xdr:from>
    <xdr:to>
      <xdr:col>6</xdr:col>
      <xdr:colOff>7938</xdr:colOff>
      <xdr:row>25</xdr:row>
      <xdr:rowOff>22788</xdr:rowOff>
    </xdr:to>
    <xdr:pic>
      <xdr:nvPicPr>
        <xdr:cNvPr id="2" name="Picture 1" descr="Image result for hp logo">
          <a:extLst>
            <a:ext uri="{FF2B5EF4-FFF2-40B4-BE49-F238E27FC236}">
              <a16:creationId xmlns:a16="http://schemas.microsoft.com/office/drawing/2014/main" id="{CFFE1EC6-0D33-44C3-993F-0C291B3B35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313" y="1579564"/>
          <a:ext cx="3087688" cy="30787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15875</xdr:colOff>
      <xdr:row>10</xdr:row>
      <xdr:rowOff>39687</xdr:rowOff>
    </xdr:from>
    <xdr:to>
      <xdr:col>16</xdr:col>
      <xdr:colOff>404812</xdr:colOff>
      <xdr:row>24</xdr:row>
      <xdr:rowOff>22225</xdr:rowOff>
    </xdr:to>
    <xdr:pic>
      <xdr:nvPicPr>
        <xdr:cNvPr id="3" name="Picture 2" descr="Image result for xerox logo">
          <a:extLst>
            <a:ext uri="{FF2B5EF4-FFF2-40B4-BE49-F238E27FC236}">
              <a16:creationId xmlns:a16="http://schemas.microsoft.com/office/drawing/2014/main" id="{82C7E555-36AF-4FC9-B178-AE567E10E2E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182938" y="1944687"/>
          <a:ext cx="6500812" cy="25225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450606</xdr:colOff>
      <xdr:row>3</xdr:row>
      <xdr:rowOff>168519</xdr:rowOff>
    </xdr:from>
    <xdr:to>
      <xdr:col>10</xdr:col>
      <xdr:colOff>80596</xdr:colOff>
      <xdr:row>24</xdr:row>
      <xdr:rowOff>29308</xdr:rowOff>
    </xdr:to>
    <xdr:graphicFrame macro="">
      <xdr:nvGraphicFramePr>
        <xdr:cNvPr id="4" name="Chart 3">
          <a:extLst>
            <a:ext uri="{FF2B5EF4-FFF2-40B4-BE49-F238E27FC236}">
              <a16:creationId xmlns:a16="http://schemas.microsoft.com/office/drawing/2014/main" id="{A8638D21-AB08-47FC-ABBC-B5107A0DB68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304066</xdr:colOff>
      <xdr:row>3</xdr:row>
      <xdr:rowOff>159727</xdr:rowOff>
    </xdr:from>
    <xdr:to>
      <xdr:col>18</xdr:col>
      <xdr:colOff>10989</xdr:colOff>
      <xdr:row>24</xdr:row>
      <xdr:rowOff>21981</xdr:rowOff>
    </xdr:to>
    <xdr:graphicFrame macro="">
      <xdr:nvGraphicFramePr>
        <xdr:cNvPr id="5" name="Chart 4">
          <a:extLst>
            <a:ext uri="{FF2B5EF4-FFF2-40B4-BE49-F238E27FC236}">
              <a16:creationId xmlns:a16="http://schemas.microsoft.com/office/drawing/2014/main" id="{531E86E9-27B2-4610-8C2A-F5A78F74F91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707048</xdr:colOff>
      <xdr:row>25</xdr:row>
      <xdr:rowOff>49823</xdr:rowOff>
    </xdr:from>
    <xdr:to>
      <xdr:col>13</xdr:col>
      <xdr:colOff>337040</xdr:colOff>
      <xdr:row>44</xdr:row>
      <xdr:rowOff>168519</xdr:rowOff>
    </xdr:to>
    <xdr:graphicFrame macro="">
      <xdr:nvGraphicFramePr>
        <xdr:cNvPr id="6" name="Chart 5">
          <a:extLst>
            <a:ext uri="{FF2B5EF4-FFF2-40B4-BE49-F238E27FC236}">
              <a16:creationId xmlns:a16="http://schemas.microsoft.com/office/drawing/2014/main" id="{61E383AC-DE34-4117-B696-B775DA35466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xdr:col>
      <xdr:colOff>108857</xdr:colOff>
      <xdr:row>11</xdr:row>
      <xdr:rowOff>67355</xdr:rowOff>
    </xdr:from>
    <xdr:to>
      <xdr:col>11</xdr:col>
      <xdr:colOff>27214</xdr:colOff>
      <xdr:row>24</xdr:row>
      <xdr:rowOff>163286</xdr:rowOff>
    </xdr:to>
    <xdr:graphicFrame macro="">
      <xdr:nvGraphicFramePr>
        <xdr:cNvPr id="2" name="Chart 1">
          <a:extLst>
            <a:ext uri="{FF2B5EF4-FFF2-40B4-BE49-F238E27FC236}">
              <a16:creationId xmlns:a16="http://schemas.microsoft.com/office/drawing/2014/main" id="{5332BBDF-46A5-4FD1-B28D-A089A039409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95249</xdr:colOff>
      <xdr:row>11</xdr:row>
      <xdr:rowOff>67355</xdr:rowOff>
    </xdr:from>
    <xdr:to>
      <xdr:col>16</xdr:col>
      <xdr:colOff>966106</xdr:colOff>
      <xdr:row>24</xdr:row>
      <xdr:rowOff>156482</xdr:rowOff>
    </xdr:to>
    <xdr:graphicFrame macro="">
      <xdr:nvGraphicFramePr>
        <xdr:cNvPr id="4" name="Chart 3">
          <a:extLst>
            <a:ext uri="{FF2B5EF4-FFF2-40B4-BE49-F238E27FC236}">
              <a16:creationId xmlns:a16="http://schemas.microsoft.com/office/drawing/2014/main" id="{4A09AA5D-4980-40F8-8884-92EDA151E8B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108858</xdr:colOff>
      <xdr:row>25</xdr:row>
      <xdr:rowOff>60552</xdr:rowOff>
    </xdr:from>
    <xdr:to>
      <xdr:col>11</xdr:col>
      <xdr:colOff>34017</xdr:colOff>
      <xdr:row>38</xdr:row>
      <xdr:rowOff>156482</xdr:rowOff>
    </xdr:to>
    <xdr:graphicFrame macro="">
      <xdr:nvGraphicFramePr>
        <xdr:cNvPr id="6" name="Chart 5">
          <a:extLst>
            <a:ext uri="{FF2B5EF4-FFF2-40B4-BE49-F238E27FC236}">
              <a16:creationId xmlns:a16="http://schemas.microsoft.com/office/drawing/2014/main" id="{00FE9C6B-6266-4B7A-BDC9-EFE22016D8F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12</xdr:col>
      <xdr:colOff>102053</xdr:colOff>
      <xdr:row>25</xdr:row>
      <xdr:rowOff>60551</xdr:rowOff>
    </xdr:from>
    <xdr:to>
      <xdr:col>16</xdr:col>
      <xdr:colOff>966106</xdr:colOff>
      <xdr:row>38</xdr:row>
      <xdr:rowOff>142874</xdr:rowOff>
    </xdr:to>
    <xdr:graphicFrame macro="">
      <xdr:nvGraphicFramePr>
        <xdr:cNvPr id="7" name="Chart 6">
          <a:extLst>
            <a:ext uri="{FF2B5EF4-FFF2-40B4-BE49-F238E27FC236}">
              <a16:creationId xmlns:a16="http://schemas.microsoft.com/office/drawing/2014/main" id="{05D91931-976C-49B7-8E55-DE974DCB599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0BFA1-4966-45BE-8385-6C0723F44485}">
  <dimension ref="A10:P27"/>
  <sheetViews>
    <sheetView zoomScale="180" zoomScaleNormal="180" workbookViewId="0">
      <selection activeCell="D5" sqref="D5"/>
    </sheetView>
  </sheetViews>
  <sheetFormatPr defaultRowHeight="15" x14ac:dyDescent="0.25"/>
  <cols>
    <col min="1" max="1" width="1.7109375" style="14" customWidth="1"/>
    <col min="2" max="16384" width="9.140625" style="14"/>
  </cols>
  <sheetData>
    <row r="10" spans="4:9" x14ac:dyDescent="0.25">
      <c r="I10"/>
    </row>
    <row r="16" spans="4:9" x14ac:dyDescent="0.25">
      <c r="D16"/>
    </row>
    <row r="24" spans="1:16" ht="5.25" customHeight="1" x14ac:dyDescent="0.25"/>
    <row r="25" spans="1:16" x14ac:dyDescent="0.25">
      <c r="A25" s="2"/>
      <c r="B25" s="2"/>
      <c r="C25" s="2"/>
      <c r="D25" s="2"/>
      <c r="E25" s="2"/>
      <c r="F25" s="2"/>
      <c r="G25" s="2"/>
      <c r="H25" s="2"/>
      <c r="I25" s="2"/>
      <c r="J25" s="2"/>
      <c r="K25" s="2"/>
      <c r="L25" s="2"/>
      <c r="M25" s="2"/>
      <c r="N25" s="2"/>
      <c r="O25" s="2"/>
      <c r="P25" s="2"/>
    </row>
    <row r="26" spans="1:16" ht="61.5" x14ac:dyDescent="0.9">
      <c r="A26" s="2"/>
      <c r="B26" s="106" t="s">
        <v>218</v>
      </c>
      <c r="C26" s="2"/>
      <c r="D26" s="2"/>
      <c r="E26" s="2"/>
      <c r="F26" s="2"/>
      <c r="G26" s="2"/>
      <c r="H26" s="2"/>
      <c r="I26" s="2"/>
      <c r="J26" s="2"/>
      <c r="K26" s="2"/>
      <c r="L26" s="2"/>
      <c r="M26" s="2"/>
      <c r="N26" s="2"/>
      <c r="O26" s="2"/>
      <c r="P26" s="2"/>
    </row>
    <row r="27" spans="1:16" ht="5.25" customHeight="1" x14ac:dyDescent="0.25"/>
  </sheetData>
  <sheetProtection algorithmName="SHA-512" hashValue="1ZDPQbldy6FltklY51zZjfVZ3gjhFbwiIbcuwUukIKU2Q4Vq1NCwLMRTM9MaD5gkS1LPvpjhNkUvuEj7BTB5hw==" saltValue="1Gi1gWhZyeGqnZDSCUTZXA==" spinCount="100000"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54AED-C63B-4B9A-8BEA-E5733858A4EA}">
  <dimension ref="A1:G48"/>
  <sheetViews>
    <sheetView zoomScale="120" zoomScaleNormal="120" workbookViewId="0">
      <selection activeCell="J7" sqref="J7"/>
    </sheetView>
  </sheetViews>
  <sheetFormatPr defaultRowHeight="15" x14ac:dyDescent="0.25"/>
  <cols>
    <col min="1" max="1" width="1.7109375" style="14" customWidth="1"/>
    <col min="2" max="2" width="57" style="14" bestFit="1" customWidth="1"/>
    <col min="3" max="7" width="13.7109375" style="14" customWidth="1"/>
    <col min="8" max="16384" width="9.140625" style="14"/>
  </cols>
  <sheetData>
    <row r="1" spans="1:7" x14ac:dyDescent="0.25">
      <c r="A1" s="2"/>
      <c r="B1" s="3" t="s">
        <v>403</v>
      </c>
      <c r="C1" s="191" t="s">
        <v>8</v>
      </c>
      <c r="D1" s="191"/>
      <c r="E1" s="191"/>
      <c r="F1" s="191"/>
      <c r="G1" s="191"/>
    </row>
    <row r="2" spans="1:7" ht="28.5" x14ac:dyDescent="0.45">
      <c r="A2" s="2"/>
      <c r="B2" s="4" t="s">
        <v>219</v>
      </c>
      <c r="C2" s="79">
        <v>2020</v>
      </c>
      <c r="D2" s="79">
        <v>2021</v>
      </c>
      <c r="E2" s="79">
        <v>2022</v>
      </c>
      <c r="F2" s="79">
        <v>2023</v>
      </c>
      <c r="G2" s="79">
        <v>2024</v>
      </c>
    </row>
    <row r="3" spans="1:7" ht="5.25" customHeight="1" x14ac:dyDescent="0.25"/>
    <row r="4" spans="1:7" ht="23.25" x14ac:dyDescent="0.35">
      <c r="B4" s="186" t="s">
        <v>226</v>
      </c>
      <c r="C4" s="41"/>
      <c r="D4" s="41"/>
      <c r="E4" s="41"/>
      <c r="F4" s="41"/>
      <c r="G4" s="41"/>
    </row>
    <row r="5" spans="1:7" x14ac:dyDescent="0.25">
      <c r="B5" s="41" t="s">
        <v>32</v>
      </c>
      <c r="C5" s="107">
        <f ca="1">OFFSET(C$10,MATCH('HP FSM'!$C$9,$B$11:$B$13,0)+MATCH($B5,$B$10:$B$25,0)-1,0)</f>
        <v>0.01</v>
      </c>
      <c r="D5" s="108">
        <f ca="1">OFFSET(D$10,MATCH('HP FSM'!$C$9,$B$11:$B$13,0)+MATCH($B5,$B$10:$B$25,0)-1,0)</f>
        <v>2.5000000000000001E-2</v>
      </c>
      <c r="E5" s="108">
        <f ca="1">OFFSET(E$10,MATCH('HP FSM'!$C$9,$B$11:$B$13,0)+MATCH($B5,$B$10:$B$25,0)-1,0)</f>
        <v>0.05</v>
      </c>
      <c r="F5" s="108">
        <f ca="1">OFFSET(F$10,MATCH('HP FSM'!$C$9,$B$11:$B$13,0)+MATCH($B5,$B$10:$B$25,0)-1,0)</f>
        <v>0.05</v>
      </c>
      <c r="G5" s="109">
        <f ca="1">OFFSET(G$10,MATCH('HP FSM'!$C$9,$B$11:$B$13,0)+MATCH($B5,$B$10:$B$25,0)-1,0)</f>
        <v>0.05</v>
      </c>
    </row>
    <row r="6" spans="1:7" x14ac:dyDescent="0.25">
      <c r="B6" s="41" t="s">
        <v>33</v>
      </c>
      <c r="C6" s="110">
        <f ca="1">OFFSET(C$10,MATCH('HP FSM'!$C$9,$B$11:$B$13,0)+MATCH($B6,$B$10:$B$25,0)-1,0)</f>
        <v>0.185</v>
      </c>
      <c r="D6" s="115">
        <f ca="1">OFFSET(D$10,MATCH('HP FSM'!$C$9,$B$11:$B$13,0)+MATCH($B6,$B$10:$B$25,0)-1,0)</f>
        <v>0.185</v>
      </c>
      <c r="E6" s="115">
        <f ca="1">OFFSET(E$10,MATCH('HP FSM'!$C$9,$B$11:$B$13,0)+MATCH($B6,$B$10:$B$25,0)-1,0)</f>
        <v>0.185</v>
      </c>
      <c r="F6" s="115">
        <f ca="1">OFFSET(F$10,MATCH('HP FSM'!$C$9,$B$11:$B$13,0)+MATCH($B6,$B$10:$B$25,0)-1,0)</f>
        <v>0.185</v>
      </c>
      <c r="G6" s="111">
        <f ca="1">OFFSET(G$10,MATCH('HP FSM'!$C$9,$B$11:$B$13,0)+MATCH($B6,$B$10:$B$25,0)-1,0)</f>
        <v>0.185</v>
      </c>
    </row>
    <row r="7" spans="1:7" x14ac:dyDescent="0.25">
      <c r="B7" s="41" t="s">
        <v>34</v>
      </c>
      <c r="C7" s="110">
        <f ca="1">OFFSET(C$10,MATCH('HP FSM'!$C$9,$B$11:$B$13,0)+MATCH($B7,$B$10:$B$25,0)-1,0)</f>
        <v>2.5000000000000001E-2</v>
      </c>
      <c r="D7" s="115">
        <f ca="1">OFFSET(D$10,MATCH('HP FSM'!$C$9,$B$11:$B$13,0)+MATCH($B7,$B$10:$B$25,0)-1,0)</f>
        <v>2.5000000000000001E-2</v>
      </c>
      <c r="E7" s="115">
        <f ca="1">OFFSET(E$10,MATCH('HP FSM'!$C$9,$B$11:$B$13,0)+MATCH($B7,$B$10:$B$25,0)-1,0)</f>
        <v>2.5000000000000001E-2</v>
      </c>
      <c r="F7" s="115">
        <f ca="1">OFFSET(F$10,MATCH('HP FSM'!$C$9,$B$11:$B$13,0)+MATCH($B7,$B$10:$B$25,0)-1,0)</f>
        <v>2.5000000000000001E-2</v>
      </c>
      <c r="G7" s="111">
        <f ca="1">OFFSET(G$10,MATCH('HP FSM'!$C$9,$B$11:$B$13,0)+MATCH($B7,$B$10:$B$25,0)-1,0)</f>
        <v>2.5000000000000001E-2</v>
      </c>
    </row>
    <row r="8" spans="1:7" x14ac:dyDescent="0.25">
      <c r="B8" s="41" t="s">
        <v>35</v>
      </c>
      <c r="C8" s="112">
        <f ca="1">OFFSET(C$10,MATCH('HP FSM'!$C$9,$B$11:$B$13,0)+MATCH($B8,$B$10:$B$25,0)-1,0)</f>
        <v>9.5000000000000001E-2</v>
      </c>
      <c r="D8" s="113">
        <f ca="1">OFFSET(D$10,MATCH('HP FSM'!$C$9,$B$11:$B$13,0)+MATCH($B8,$B$10:$B$25,0)-1,0)</f>
        <v>9.5000000000000001E-2</v>
      </c>
      <c r="E8" s="113">
        <f ca="1">OFFSET(E$10,MATCH('HP FSM'!$C$9,$B$11:$B$13,0)+MATCH($B8,$B$10:$B$25,0)-1,0)</f>
        <v>9.5000000000000001E-2</v>
      </c>
      <c r="F8" s="113">
        <f ca="1">OFFSET(F$10,MATCH('HP FSM'!$C$9,$B$11:$B$13,0)+MATCH($B8,$B$10:$B$25,0)-1,0)</f>
        <v>9.5000000000000001E-2</v>
      </c>
      <c r="G8" s="114">
        <f ca="1">OFFSET(G$10,MATCH('HP FSM'!$C$9,$B$11:$B$13,0)+MATCH($B8,$B$10:$B$25,0)-1,0)</f>
        <v>9.5000000000000001E-2</v>
      </c>
    </row>
    <row r="9" spans="1:7" ht="5.25" customHeight="1" x14ac:dyDescent="0.25">
      <c r="B9" s="41"/>
      <c r="C9" s="41"/>
      <c r="D9" s="41"/>
      <c r="E9" s="41"/>
      <c r="F9" s="41"/>
      <c r="G9" s="41"/>
    </row>
    <row r="10" spans="1:7" x14ac:dyDescent="0.25">
      <c r="B10" s="27" t="s">
        <v>220</v>
      </c>
      <c r="C10" s="41"/>
      <c r="D10" s="41"/>
      <c r="E10" s="41"/>
      <c r="F10" s="41"/>
      <c r="G10" s="41"/>
    </row>
    <row r="11" spans="1:7" x14ac:dyDescent="0.25">
      <c r="B11" s="41" t="s">
        <v>221</v>
      </c>
      <c r="C11" s="31">
        <v>7.4999999999999997E-2</v>
      </c>
      <c r="D11" s="31">
        <v>7.4999999999999997E-2</v>
      </c>
      <c r="E11" s="31">
        <v>0.1</v>
      </c>
      <c r="F11" s="31">
        <v>0.1</v>
      </c>
      <c r="G11" s="31">
        <v>0.1</v>
      </c>
    </row>
    <row r="12" spans="1:7" x14ac:dyDescent="0.25">
      <c r="B12" s="41" t="s">
        <v>222</v>
      </c>
      <c r="C12" s="30">
        <v>0.01</v>
      </c>
      <c r="D12" s="30">
        <v>2.5000000000000001E-2</v>
      </c>
      <c r="E12" s="30">
        <v>0.05</v>
      </c>
      <c r="F12" s="30">
        <v>0.05</v>
      </c>
      <c r="G12" s="30">
        <v>0.05</v>
      </c>
    </row>
    <row r="13" spans="1:7" x14ac:dyDescent="0.25">
      <c r="B13" s="41" t="s">
        <v>223</v>
      </c>
      <c r="C13" s="31">
        <v>6.3249999999999999E-3</v>
      </c>
      <c r="D13" s="31">
        <v>1.2500000000000001E-2</v>
      </c>
      <c r="E13" s="31">
        <v>0.03</v>
      </c>
      <c r="F13" s="31">
        <v>3.3500000000000002E-2</v>
      </c>
      <c r="G13" s="31">
        <v>0.05</v>
      </c>
    </row>
    <row r="14" spans="1:7" x14ac:dyDescent="0.25">
      <c r="B14" s="27" t="s">
        <v>33</v>
      </c>
      <c r="C14" s="144"/>
      <c r="D14" s="144"/>
      <c r="E14" s="144"/>
      <c r="F14" s="144"/>
      <c r="G14" s="144"/>
    </row>
    <row r="15" spans="1:7" x14ac:dyDescent="0.25">
      <c r="B15" s="41" t="s">
        <v>221</v>
      </c>
      <c r="C15" s="31">
        <v>0.25</v>
      </c>
      <c r="D15" s="31">
        <v>0.25</v>
      </c>
      <c r="E15" s="31">
        <v>0.25</v>
      </c>
      <c r="F15" s="31">
        <v>0.25</v>
      </c>
      <c r="G15" s="31">
        <v>0.25</v>
      </c>
    </row>
    <row r="16" spans="1:7" x14ac:dyDescent="0.25">
      <c r="B16" s="41" t="s">
        <v>222</v>
      </c>
      <c r="C16" s="30">
        <v>0.185</v>
      </c>
      <c r="D16" s="30">
        <v>0.185</v>
      </c>
      <c r="E16" s="30">
        <v>0.185</v>
      </c>
      <c r="F16" s="30">
        <v>0.185</v>
      </c>
      <c r="G16" s="30">
        <v>0.185</v>
      </c>
    </row>
    <row r="17" spans="2:7" x14ac:dyDescent="0.25">
      <c r="B17" s="41" t="s">
        <v>223</v>
      </c>
      <c r="C17" s="31">
        <v>0.1</v>
      </c>
      <c r="D17" s="31">
        <v>0.1</v>
      </c>
      <c r="E17" s="31">
        <v>0.1</v>
      </c>
      <c r="F17" s="31">
        <v>0.1</v>
      </c>
      <c r="G17" s="31">
        <v>0.1</v>
      </c>
    </row>
    <row r="18" spans="2:7" x14ac:dyDescent="0.25">
      <c r="B18" s="27" t="s">
        <v>224</v>
      </c>
      <c r="C18" s="144"/>
      <c r="D18" s="144"/>
      <c r="E18" s="144"/>
      <c r="F18" s="144"/>
      <c r="G18" s="144"/>
    </row>
    <row r="19" spans="2:7" x14ac:dyDescent="0.25">
      <c r="B19" s="41" t="s">
        <v>221</v>
      </c>
      <c r="C19" s="31">
        <v>0.01</v>
      </c>
      <c r="D19" s="31">
        <v>0.01</v>
      </c>
      <c r="E19" s="31">
        <v>0.01</v>
      </c>
      <c r="F19" s="31">
        <v>0.01</v>
      </c>
      <c r="G19" s="31">
        <v>0.01</v>
      </c>
    </row>
    <row r="20" spans="2:7" x14ac:dyDescent="0.25">
      <c r="B20" s="41" t="s">
        <v>222</v>
      </c>
      <c r="C20" s="30">
        <v>2.5000000000000001E-2</v>
      </c>
      <c r="D20" s="30">
        <v>2.5000000000000001E-2</v>
      </c>
      <c r="E20" s="30">
        <v>2.5000000000000001E-2</v>
      </c>
      <c r="F20" s="30">
        <v>2.5000000000000001E-2</v>
      </c>
      <c r="G20" s="30">
        <v>2.5000000000000001E-2</v>
      </c>
    </row>
    <row r="21" spans="2:7" x14ac:dyDescent="0.25">
      <c r="B21" s="41" t="s">
        <v>223</v>
      </c>
      <c r="C21" s="31">
        <v>0.05</v>
      </c>
      <c r="D21" s="31">
        <v>0.05</v>
      </c>
      <c r="E21" s="31">
        <v>0.05</v>
      </c>
      <c r="F21" s="31">
        <v>0.05</v>
      </c>
      <c r="G21" s="31">
        <v>0.05</v>
      </c>
    </row>
    <row r="22" spans="2:7" x14ac:dyDescent="0.25">
      <c r="B22" s="27" t="s">
        <v>225</v>
      </c>
      <c r="C22" s="144"/>
      <c r="D22" s="144"/>
      <c r="E22" s="144"/>
      <c r="F22" s="144"/>
      <c r="G22" s="144"/>
    </row>
    <row r="23" spans="2:7" x14ac:dyDescent="0.25">
      <c r="B23" s="41" t="s">
        <v>221</v>
      </c>
      <c r="C23" s="31">
        <v>3.2500000000000001E-2</v>
      </c>
      <c r="D23" s="31">
        <v>3.2500000000000001E-2</v>
      </c>
      <c r="E23" s="31">
        <v>3.2500000000000001E-2</v>
      </c>
      <c r="F23" s="31">
        <v>3.2500000000000001E-2</v>
      </c>
      <c r="G23" s="31">
        <v>3.2500000000000001E-2</v>
      </c>
    </row>
    <row r="24" spans="2:7" x14ac:dyDescent="0.25">
      <c r="B24" s="41" t="s">
        <v>222</v>
      </c>
      <c r="C24" s="30">
        <v>9.5000000000000001E-2</v>
      </c>
      <c r="D24" s="30">
        <v>9.5000000000000001E-2</v>
      </c>
      <c r="E24" s="30">
        <v>9.5000000000000001E-2</v>
      </c>
      <c r="F24" s="30">
        <v>9.5000000000000001E-2</v>
      </c>
      <c r="G24" s="30">
        <v>9.5000000000000001E-2</v>
      </c>
    </row>
    <row r="25" spans="2:7" x14ac:dyDescent="0.25">
      <c r="B25" s="41" t="s">
        <v>223</v>
      </c>
      <c r="C25" s="31">
        <v>0.15</v>
      </c>
      <c r="D25" s="31">
        <v>0.15</v>
      </c>
      <c r="E25" s="31">
        <v>0.15</v>
      </c>
      <c r="F25" s="31">
        <v>0.15</v>
      </c>
      <c r="G25" s="31">
        <v>0.15</v>
      </c>
    </row>
    <row r="26" spans="2:7" ht="5.25" customHeight="1" x14ac:dyDescent="0.25">
      <c r="B26" s="41"/>
      <c r="C26" s="41"/>
      <c r="D26" s="41"/>
      <c r="E26" s="41"/>
      <c r="F26" s="41"/>
      <c r="G26" s="41"/>
    </row>
    <row r="27" spans="2:7" ht="23.25" x14ac:dyDescent="0.35">
      <c r="B27" s="186" t="s">
        <v>227</v>
      </c>
      <c r="C27" s="41"/>
      <c r="D27" s="41"/>
      <c r="E27" s="41"/>
      <c r="F27" s="41"/>
      <c r="G27" s="41"/>
    </row>
    <row r="28" spans="2:7" x14ac:dyDescent="0.25">
      <c r="B28" s="41" t="s">
        <v>32</v>
      </c>
      <c r="C28" s="107">
        <f ca="1">OFFSET(C$33,MATCH('XEROX FSM'!$C$9,$B$34:$B$36,0)+MATCH($B28,$B$33:$B$48,0)-1,0)</f>
        <v>0.01</v>
      </c>
      <c r="D28" s="108">
        <f ca="1">OFFSET(D$33,MATCH('XEROX FSM'!$C$9,$B$34:$B$36,0)+MATCH($B28,$B$33:$B$48,0)-1,0)</f>
        <v>2.5000000000000001E-2</v>
      </c>
      <c r="E28" s="108">
        <f ca="1">OFFSET(E$33,MATCH('XEROX FSM'!$C$9,$B$34:$B$36,0)+MATCH($B28,$B$33:$B$48,0)-1,0)</f>
        <v>0.05</v>
      </c>
      <c r="F28" s="108">
        <f ca="1">OFFSET(F$33,MATCH('XEROX FSM'!$C$9,$B$34:$B$36,0)+MATCH($B28,$B$33:$B$48,0)-1,0)</f>
        <v>0.05</v>
      </c>
      <c r="G28" s="109">
        <f ca="1">OFFSET(G$33,MATCH('XEROX FSM'!$C$9,$B$34:$B$36,0)+MATCH($B28,$B$33:$B$48,0)-1,0)</f>
        <v>0.05</v>
      </c>
    </row>
    <row r="29" spans="2:7" x14ac:dyDescent="0.25">
      <c r="B29" s="41" t="s">
        <v>33</v>
      </c>
      <c r="C29" s="110">
        <f ca="1">OFFSET(C$33,MATCH('XEROX FSM'!$C$9,$B$34:$B$36,0)+MATCH($B29,$B$33:$B$48,0)-1,0)</f>
        <v>0.4</v>
      </c>
      <c r="D29" s="115">
        <f ca="1">OFFSET(D$33,MATCH('XEROX FSM'!$C$9,$B$34:$B$36,0)+MATCH($B29,$B$33:$B$48,0)-1,0)</f>
        <v>0.4</v>
      </c>
      <c r="E29" s="115">
        <f ca="1">OFFSET(E$33,MATCH('XEROX FSM'!$C$9,$B$34:$B$36,0)+MATCH($B29,$B$33:$B$48,0)-1,0)</f>
        <v>0.4</v>
      </c>
      <c r="F29" s="115">
        <f ca="1">OFFSET(F$33,MATCH('XEROX FSM'!$C$9,$B$34:$B$36,0)+MATCH($B29,$B$33:$B$48,0)-1,0)</f>
        <v>0.4</v>
      </c>
      <c r="G29" s="111">
        <f ca="1">OFFSET(G$33,MATCH('XEROX FSM'!$C$9,$B$34:$B$36,0)+MATCH($B29,$B$33:$B$48,0)-1,0)</f>
        <v>0.4</v>
      </c>
    </row>
    <row r="30" spans="2:7" x14ac:dyDescent="0.25">
      <c r="B30" s="41" t="s">
        <v>34</v>
      </c>
      <c r="C30" s="110">
        <f ca="1">OFFSET(C$33,MATCH('XEROX FSM'!$C$9,$B$34:$B$36,0)+MATCH($B30,$B$33:$B$48,0)-1,0)</f>
        <v>0.04</v>
      </c>
      <c r="D30" s="115">
        <f ca="1">OFFSET(D$33,MATCH('XEROX FSM'!$C$9,$B$34:$B$36,0)+MATCH($B30,$B$33:$B$48,0)-1,0)</f>
        <v>0.04</v>
      </c>
      <c r="E30" s="115">
        <f ca="1">OFFSET(E$33,MATCH('XEROX FSM'!$C$9,$B$34:$B$36,0)+MATCH($B30,$B$33:$B$48,0)-1,0)</f>
        <v>0.04</v>
      </c>
      <c r="F30" s="115">
        <f ca="1">OFFSET(F$33,MATCH('XEROX FSM'!$C$9,$B$34:$B$36,0)+MATCH($B30,$B$33:$B$48,0)-1,0)</f>
        <v>0.04</v>
      </c>
      <c r="G30" s="111">
        <f ca="1">OFFSET(G$33,MATCH('XEROX FSM'!$C$9,$B$34:$B$36,0)+MATCH($B30,$B$33:$B$48,0)-1,0)</f>
        <v>0.04</v>
      </c>
    </row>
    <row r="31" spans="2:7" x14ac:dyDescent="0.25">
      <c r="B31" s="41" t="s">
        <v>35</v>
      </c>
      <c r="C31" s="112">
        <f ca="1">OFFSET(C$33,MATCH('XEROX FSM'!$C$9,$B$34:$B$36,0)+MATCH($B31,$B$33:$B$48,0)-1,0)</f>
        <v>0.3</v>
      </c>
      <c r="D31" s="113">
        <f ca="1">OFFSET(D$33,MATCH('XEROX FSM'!$C$9,$B$34:$B$36,0)+MATCH($B31,$B$33:$B$48,0)-1,0)</f>
        <v>0.3</v>
      </c>
      <c r="E31" s="113">
        <f ca="1">OFFSET(E$33,MATCH('XEROX FSM'!$C$9,$B$34:$B$36,0)+MATCH($B31,$B$33:$B$48,0)-1,0)</f>
        <v>0.3</v>
      </c>
      <c r="F31" s="113">
        <f ca="1">OFFSET(F$33,MATCH('XEROX FSM'!$C$9,$B$34:$B$36,0)+MATCH($B31,$B$33:$B$48,0)-1,0)</f>
        <v>0.3</v>
      </c>
      <c r="G31" s="114">
        <f ca="1">OFFSET(G$33,MATCH('XEROX FSM'!$C$9,$B$34:$B$36,0)+MATCH($B31,$B$33:$B$48,0)-1,0)</f>
        <v>0.3</v>
      </c>
    </row>
    <row r="32" spans="2:7" ht="5.25" customHeight="1" x14ac:dyDescent="0.25">
      <c r="B32" s="41"/>
      <c r="C32" s="41"/>
      <c r="D32" s="41"/>
      <c r="E32" s="41"/>
      <c r="F32" s="41"/>
      <c r="G32" s="41"/>
    </row>
    <row r="33" spans="2:7" x14ac:dyDescent="0.25">
      <c r="B33" s="27" t="s">
        <v>220</v>
      </c>
      <c r="C33" s="41"/>
      <c r="D33" s="41"/>
      <c r="E33" s="41"/>
      <c r="F33" s="41"/>
      <c r="G33" s="41"/>
    </row>
    <row r="34" spans="2:7" x14ac:dyDescent="0.25">
      <c r="B34" s="41" t="s">
        <v>221</v>
      </c>
      <c r="C34" s="31">
        <v>7.4999999999999997E-2</v>
      </c>
      <c r="D34" s="31">
        <v>7.4999999999999997E-2</v>
      </c>
      <c r="E34" s="31">
        <v>0.1</v>
      </c>
      <c r="F34" s="31">
        <v>0.1</v>
      </c>
      <c r="G34" s="31">
        <v>0.1</v>
      </c>
    </row>
    <row r="35" spans="2:7" x14ac:dyDescent="0.25">
      <c r="B35" s="41" t="s">
        <v>222</v>
      </c>
      <c r="C35" s="30">
        <v>0.01</v>
      </c>
      <c r="D35" s="30">
        <v>2.5000000000000001E-2</v>
      </c>
      <c r="E35" s="30">
        <v>0.05</v>
      </c>
      <c r="F35" s="30">
        <v>0.05</v>
      </c>
      <c r="G35" s="30">
        <v>0.05</v>
      </c>
    </row>
    <row r="36" spans="2:7" x14ac:dyDescent="0.25">
      <c r="B36" s="41" t="s">
        <v>223</v>
      </c>
      <c r="C36" s="31">
        <v>6.3249999999999999E-3</v>
      </c>
      <c r="D36" s="31">
        <v>1.2500000000000001E-2</v>
      </c>
      <c r="E36" s="31">
        <v>0.03</v>
      </c>
      <c r="F36" s="31">
        <v>3.3500000000000002E-2</v>
      </c>
      <c r="G36" s="31">
        <v>0.05</v>
      </c>
    </row>
    <row r="37" spans="2:7" x14ac:dyDescent="0.25">
      <c r="B37" s="27" t="s">
        <v>33</v>
      </c>
      <c r="C37" s="144"/>
      <c r="D37" s="144"/>
      <c r="E37" s="144"/>
      <c r="F37" s="144"/>
      <c r="G37" s="144"/>
    </row>
    <row r="38" spans="2:7" x14ac:dyDescent="0.25">
      <c r="B38" s="41" t="s">
        <v>221</v>
      </c>
      <c r="C38" s="31">
        <v>0.42</v>
      </c>
      <c r="D38" s="31">
        <v>0.42</v>
      </c>
      <c r="E38" s="31">
        <v>0.42</v>
      </c>
      <c r="F38" s="31">
        <v>0.42</v>
      </c>
      <c r="G38" s="31">
        <v>0.42</v>
      </c>
    </row>
    <row r="39" spans="2:7" x14ac:dyDescent="0.25">
      <c r="B39" s="41" t="s">
        <v>222</v>
      </c>
      <c r="C39" s="30">
        <v>0.4</v>
      </c>
      <c r="D39" s="30">
        <v>0.4</v>
      </c>
      <c r="E39" s="30">
        <v>0.4</v>
      </c>
      <c r="F39" s="30">
        <v>0.4</v>
      </c>
      <c r="G39" s="30">
        <v>0.4</v>
      </c>
    </row>
    <row r="40" spans="2:7" x14ac:dyDescent="0.25">
      <c r="B40" s="41" t="s">
        <v>223</v>
      </c>
      <c r="C40" s="31">
        <v>0.38</v>
      </c>
      <c r="D40" s="31">
        <v>0.38</v>
      </c>
      <c r="E40" s="31">
        <v>0.38</v>
      </c>
      <c r="F40" s="31">
        <v>0.38</v>
      </c>
      <c r="G40" s="31">
        <v>0.38</v>
      </c>
    </row>
    <row r="41" spans="2:7" x14ac:dyDescent="0.25">
      <c r="B41" s="27" t="s">
        <v>224</v>
      </c>
      <c r="C41" s="144"/>
      <c r="D41" s="144"/>
      <c r="E41" s="144"/>
      <c r="F41" s="144"/>
      <c r="G41" s="144"/>
    </row>
    <row r="42" spans="2:7" x14ac:dyDescent="0.25">
      <c r="B42" s="41" t="s">
        <v>221</v>
      </c>
      <c r="C42" s="31">
        <v>0.02</v>
      </c>
      <c r="D42" s="31">
        <v>0.02</v>
      </c>
      <c r="E42" s="31">
        <v>0.02</v>
      </c>
      <c r="F42" s="31">
        <v>0.02</v>
      </c>
      <c r="G42" s="31">
        <v>0.02</v>
      </c>
    </row>
    <row r="43" spans="2:7" x14ac:dyDescent="0.25">
      <c r="B43" s="41" t="s">
        <v>222</v>
      </c>
      <c r="C43" s="30">
        <v>0.04</v>
      </c>
      <c r="D43" s="30">
        <v>0.04</v>
      </c>
      <c r="E43" s="30">
        <v>0.04</v>
      </c>
      <c r="F43" s="30">
        <v>0.04</v>
      </c>
      <c r="G43" s="30">
        <v>0.04</v>
      </c>
    </row>
    <row r="44" spans="2:7" x14ac:dyDescent="0.25">
      <c r="B44" s="41" t="s">
        <v>223</v>
      </c>
      <c r="C44" s="31">
        <v>0.05</v>
      </c>
      <c r="D44" s="31">
        <v>0.05</v>
      </c>
      <c r="E44" s="31">
        <v>0.05</v>
      </c>
      <c r="F44" s="31">
        <v>0.05</v>
      </c>
      <c r="G44" s="31">
        <v>0.05</v>
      </c>
    </row>
    <row r="45" spans="2:7" x14ac:dyDescent="0.25">
      <c r="B45" s="27" t="s">
        <v>225</v>
      </c>
      <c r="C45" s="144"/>
      <c r="D45" s="144"/>
      <c r="E45" s="144"/>
      <c r="F45" s="144"/>
      <c r="G45" s="144"/>
    </row>
    <row r="46" spans="2:7" x14ac:dyDescent="0.25">
      <c r="B46" s="41" t="s">
        <v>221</v>
      </c>
      <c r="C46" s="31">
        <v>0.15</v>
      </c>
      <c r="D46" s="31">
        <v>0.15</v>
      </c>
      <c r="E46" s="31">
        <v>0.15</v>
      </c>
      <c r="F46" s="31">
        <v>0.15</v>
      </c>
      <c r="G46" s="31">
        <v>0.15</v>
      </c>
    </row>
    <row r="47" spans="2:7" x14ac:dyDescent="0.25">
      <c r="B47" s="41" t="s">
        <v>222</v>
      </c>
      <c r="C47" s="30">
        <v>0.3</v>
      </c>
      <c r="D47" s="30">
        <v>0.3</v>
      </c>
      <c r="E47" s="30">
        <v>0.3</v>
      </c>
      <c r="F47" s="30">
        <v>0.3</v>
      </c>
      <c r="G47" s="30">
        <v>0.3</v>
      </c>
    </row>
    <row r="48" spans="2:7" x14ac:dyDescent="0.25">
      <c r="B48" s="41" t="s">
        <v>223</v>
      </c>
      <c r="C48" s="31">
        <v>0.45</v>
      </c>
      <c r="D48" s="31">
        <v>0.45</v>
      </c>
      <c r="E48" s="31">
        <v>0.45</v>
      </c>
      <c r="F48" s="31">
        <v>0.45</v>
      </c>
      <c r="G48" s="31">
        <v>0.45</v>
      </c>
    </row>
  </sheetData>
  <mergeCells count="1">
    <mergeCell ref="C1:G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E4CBB-2645-43F7-9197-2FB09E0E733F}">
  <dimension ref="A1:K259"/>
  <sheetViews>
    <sheetView zoomScale="140" zoomScaleNormal="140" workbookViewId="0">
      <pane ySplit="2" topLeftCell="A3" activePane="bottomLeft" state="frozen"/>
      <selection pane="bottomLeft" activeCell="C9" sqref="C9"/>
    </sheetView>
  </sheetViews>
  <sheetFormatPr defaultRowHeight="15" outlineLevelRow="1" x14ac:dyDescent="0.25"/>
  <cols>
    <col min="1" max="1" width="1.5703125" style="1" customWidth="1"/>
    <col min="2" max="2" width="66.5703125" style="1" bestFit="1" customWidth="1"/>
    <col min="3" max="10" width="13.7109375" style="1" customWidth="1"/>
    <col min="11" max="16384" width="9.140625" style="1"/>
  </cols>
  <sheetData>
    <row r="1" spans="1:10" x14ac:dyDescent="0.25">
      <c r="A1" s="2"/>
      <c r="B1" s="3" t="s">
        <v>6</v>
      </c>
      <c r="C1" s="192" t="s">
        <v>7</v>
      </c>
      <c r="D1" s="192"/>
      <c r="E1" s="192"/>
      <c r="F1" s="191" t="s">
        <v>8</v>
      </c>
      <c r="G1" s="191"/>
      <c r="H1" s="191"/>
      <c r="I1" s="191"/>
      <c r="J1" s="191"/>
    </row>
    <row r="2" spans="1:10" ht="28.5" x14ac:dyDescent="0.45">
      <c r="A2" s="2"/>
      <c r="B2" s="4" t="str">
        <f>C4&amp;" Financial Statements"</f>
        <v>HP Financial Statements</v>
      </c>
      <c r="C2" s="5">
        <v>2017</v>
      </c>
      <c r="D2" s="5">
        <v>2018</v>
      </c>
      <c r="E2" s="5">
        <v>2019</v>
      </c>
      <c r="F2" s="6">
        <v>2020</v>
      </c>
      <c r="G2" s="6">
        <v>2021</v>
      </c>
      <c r="H2" s="6">
        <v>2022</v>
      </c>
      <c r="I2" s="6">
        <v>2023</v>
      </c>
      <c r="J2" s="6">
        <v>2024</v>
      </c>
    </row>
    <row r="3" spans="1:10" ht="5.25" customHeight="1" x14ac:dyDescent="0.25"/>
    <row r="4" spans="1:10" x14ac:dyDescent="0.25">
      <c r="B4" s="7" t="s">
        <v>0</v>
      </c>
      <c r="C4" s="8" t="s">
        <v>9</v>
      </c>
    </row>
    <row r="5" spans="1:10" x14ac:dyDescent="0.25">
      <c r="B5" s="7" t="s">
        <v>1</v>
      </c>
      <c r="C5" s="8" t="s">
        <v>154</v>
      </c>
    </row>
    <row r="6" spans="1:10" x14ac:dyDescent="0.25">
      <c r="B6" s="9" t="s">
        <v>2</v>
      </c>
      <c r="C6" s="10">
        <v>13.95</v>
      </c>
    </row>
    <row r="7" spans="1:10" x14ac:dyDescent="0.25">
      <c r="B7" s="7" t="s">
        <v>3</v>
      </c>
      <c r="C7" s="11">
        <v>43910</v>
      </c>
    </row>
    <row r="8" spans="1:10" x14ac:dyDescent="0.25">
      <c r="B8" s="7" t="s">
        <v>4</v>
      </c>
      <c r="C8" s="11">
        <v>43769</v>
      </c>
    </row>
    <row r="9" spans="1:10" x14ac:dyDescent="0.25">
      <c r="B9" s="1" t="s">
        <v>11</v>
      </c>
      <c r="C9" s="200" t="s">
        <v>222</v>
      </c>
    </row>
    <row r="10" spans="1:10" x14ac:dyDescent="0.25">
      <c r="B10" s="7" t="s">
        <v>10</v>
      </c>
      <c r="C10" s="12" t="s">
        <v>5</v>
      </c>
    </row>
    <row r="12" spans="1:10" ht="28.5" x14ac:dyDescent="0.45">
      <c r="A12" s="13" t="s">
        <v>12</v>
      </c>
      <c r="B12" s="4" t="s">
        <v>13</v>
      </c>
      <c r="C12" s="2"/>
      <c r="D12" s="2"/>
      <c r="E12" s="2"/>
      <c r="F12" s="2"/>
      <c r="G12" s="2"/>
      <c r="H12" s="2"/>
      <c r="I12" s="2"/>
      <c r="J12" s="2"/>
    </row>
    <row r="13" spans="1:10" ht="5.25" customHeight="1" x14ac:dyDescent="0.25">
      <c r="A13" s="14"/>
      <c r="B13" s="14"/>
      <c r="C13" s="14"/>
      <c r="D13" s="14"/>
      <c r="E13" s="14"/>
      <c r="F13" s="14"/>
      <c r="G13" s="14"/>
      <c r="H13" s="14"/>
      <c r="I13" s="14"/>
      <c r="J13" s="14"/>
    </row>
    <row r="14" spans="1:10" x14ac:dyDescent="0.25">
      <c r="A14" s="14"/>
      <c r="B14" s="14" t="s">
        <v>14</v>
      </c>
      <c r="C14" s="15">
        <v>52056</v>
      </c>
      <c r="D14" s="15">
        <v>58472</v>
      </c>
      <c r="E14" s="15">
        <v>58756</v>
      </c>
      <c r="F14" s="16">
        <f ca="1">E14*(1+F38)</f>
        <v>59343.56</v>
      </c>
      <c r="G14" s="16">
        <f t="shared" ref="G14:J14" ca="1" si="0">F14*(1+G38)</f>
        <v>60827.14899999999</v>
      </c>
      <c r="H14" s="16">
        <f t="shared" ca="1" si="0"/>
        <v>63868.506449999993</v>
      </c>
      <c r="I14" s="16">
        <f t="shared" ca="1" si="0"/>
        <v>67061.9317725</v>
      </c>
      <c r="J14" s="16">
        <f t="shared" ca="1" si="0"/>
        <v>70415.028361125005</v>
      </c>
    </row>
    <row r="15" spans="1:10" x14ac:dyDescent="0.25">
      <c r="A15" s="14"/>
      <c r="B15" s="14" t="s">
        <v>15</v>
      </c>
      <c r="C15" s="17">
        <v>-42478</v>
      </c>
      <c r="D15" s="17">
        <v>-47803</v>
      </c>
      <c r="E15" s="17">
        <v>-47586</v>
      </c>
      <c r="F15" s="18">
        <f ca="1">-(F14-F16)</f>
        <v>-48365.001399999994</v>
      </c>
      <c r="G15" s="18">
        <f t="shared" ref="G15:J15" ca="1" si="1">-(G14-G16)</f>
        <v>-49574.126434999991</v>
      </c>
      <c r="H15" s="18">
        <f t="shared" ca="1" si="1"/>
        <v>-52052.832756749995</v>
      </c>
      <c r="I15" s="18">
        <f t="shared" ca="1" si="1"/>
        <v>-54655.474394587502</v>
      </c>
      <c r="J15" s="18">
        <f t="shared" ca="1" si="1"/>
        <v>-57388.248114316877</v>
      </c>
    </row>
    <row r="16" spans="1:10" x14ac:dyDescent="0.25">
      <c r="A16" s="14"/>
      <c r="B16" s="19" t="s">
        <v>16</v>
      </c>
      <c r="C16" s="20">
        <f>SUM(C14:C15)</f>
        <v>9578</v>
      </c>
      <c r="D16" s="20">
        <f>SUM(D14:D15)</f>
        <v>10669</v>
      </c>
      <c r="E16" s="20">
        <f>SUM(E14:E15)</f>
        <v>11170</v>
      </c>
      <c r="F16" s="20">
        <f ca="1">F14*F39</f>
        <v>10978.5586</v>
      </c>
      <c r="G16" s="20">
        <f t="shared" ref="G16:J16" ca="1" si="2">G14*G39</f>
        <v>11253.022564999997</v>
      </c>
      <c r="H16" s="20">
        <f t="shared" ca="1" si="2"/>
        <v>11815.673693249999</v>
      </c>
      <c r="I16" s="20">
        <f t="shared" ca="1" si="2"/>
        <v>12406.4573779125</v>
      </c>
      <c r="J16" s="20">
        <f t="shared" ca="1" si="2"/>
        <v>13026.780246808126</v>
      </c>
    </row>
    <row r="17" spans="1:10" ht="5.25" customHeight="1" x14ac:dyDescent="0.25">
      <c r="A17" s="14"/>
      <c r="B17" s="14"/>
      <c r="C17" s="21"/>
      <c r="D17" s="21"/>
      <c r="E17" s="21"/>
      <c r="F17" s="21"/>
      <c r="G17" s="21"/>
      <c r="H17" s="21"/>
      <c r="I17" s="21"/>
      <c r="J17" s="21"/>
    </row>
    <row r="18" spans="1:10" x14ac:dyDescent="0.25">
      <c r="A18" s="14"/>
      <c r="B18" s="14" t="s">
        <v>17</v>
      </c>
      <c r="C18" s="22">
        <v>-1190</v>
      </c>
      <c r="D18" s="22">
        <v>-1404</v>
      </c>
      <c r="E18" s="22">
        <v>-1499</v>
      </c>
      <c r="F18" s="18">
        <f ca="1">-(F14*F40)</f>
        <v>-1483.5889999999999</v>
      </c>
      <c r="G18" s="18">
        <f t="shared" ref="G18:J18" ca="1" si="3">-(G14*G40)</f>
        <v>-1520.6787249999998</v>
      </c>
      <c r="H18" s="18">
        <f t="shared" ca="1" si="3"/>
        <v>-1596.7126612499999</v>
      </c>
      <c r="I18" s="18">
        <f t="shared" ca="1" si="3"/>
        <v>-1676.5482943125</v>
      </c>
      <c r="J18" s="18">
        <f t="shared" ca="1" si="3"/>
        <v>-1760.3757090281251</v>
      </c>
    </row>
    <row r="19" spans="1:10" x14ac:dyDescent="0.25">
      <c r="A19" s="14"/>
      <c r="B19" s="14" t="s">
        <v>18</v>
      </c>
      <c r="C19" s="22">
        <f>-(4532+362+125+1)</f>
        <v>-5020</v>
      </c>
      <c r="D19" s="22">
        <f>-(5099+132+123+80)</f>
        <v>-5434</v>
      </c>
      <c r="E19" s="22">
        <f>-(5368+275+35+116)</f>
        <v>-5794</v>
      </c>
      <c r="F19" s="18">
        <f ca="1">-(F14*F41)</f>
        <v>-5637.6381999999994</v>
      </c>
      <c r="G19" s="18">
        <f t="shared" ref="G19:J19" ca="1" si="4">-(G14*G41)</f>
        <v>-5778.5791549999994</v>
      </c>
      <c r="H19" s="18">
        <f t="shared" ca="1" si="4"/>
        <v>-6067.5081127499998</v>
      </c>
      <c r="I19" s="18">
        <f t="shared" ca="1" si="4"/>
        <v>-6370.8835183874999</v>
      </c>
      <c r="J19" s="18">
        <f t="shared" ca="1" si="4"/>
        <v>-6689.4276943068753</v>
      </c>
    </row>
    <row r="20" spans="1:10" x14ac:dyDescent="0.25">
      <c r="A20" s="14"/>
      <c r="B20" s="19" t="s">
        <v>19</v>
      </c>
      <c r="C20" s="20">
        <f t="shared" ref="C20:F20" si="5">SUM(C18:C19,C16)</f>
        <v>3368</v>
      </c>
      <c r="D20" s="20">
        <f t="shared" si="5"/>
        <v>3831</v>
      </c>
      <c r="E20" s="20">
        <f t="shared" si="5"/>
        <v>3877</v>
      </c>
      <c r="F20" s="20">
        <f t="shared" ca="1" si="5"/>
        <v>3857.3314000000009</v>
      </c>
      <c r="G20" s="20">
        <f t="shared" ref="G20:J20" ca="1" si="6">SUM(G18:G19,G16)</f>
        <v>3953.7646849999983</v>
      </c>
      <c r="H20" s="20">
        <f t="shared" ca="1" si="6"/>
        <v>4151.4529192499995</v>
      </c>
      <c r="I20" s="20">
        <f t="shared" ca="1" si="6"/>
        <v>4359.0255652125006</v>
      </c>
      <c r="J20" s="20">
        <f t="shared" ca="1" si="6"/>
        <v>4576.976843473125</v>
      </c>
    </row>
    <row r="21" spans="1:10" ht="5.25" customHeight="1" x14ac:dyDescent="0.25">
      <c r="A21" s="14"/>
      <c r="B21" s="14"/>
      <c r="C21" s="14"/>
      <c r="D21" s="14"/>
      <c r="E21" s="14"/>
      <c r="F21" s="14"/>
      <c r="G21" s="14"/>
      <c r="H21" s="14"/>
      <c r="I21" s="14"/>
      <c r="J21" s="14"/>
    </row>
    <row r="22" spans="1:10" x14ac:dyDescent="0.25">
      <c r="A22" s="14"/>
      <c r="B22" s="14" t="s">
        <v>20</v>
      </c>
      <c r="C22" s="22">
        <v>47</v>
      </c>
      <c r="D22" s="22">
        <f>-(662+126)</f>
        <v>-788</v>
      </c>
      <c r="E22" s="22">
        <v>-1186</v>
      </c>
      <c r="F22" s="21">
        <f ca="1">F247</f>
        <v>104.43014999959831</v>
      </c>
      <c r="G22" s="21">
        <f t="shared" ref="G22:J22" ca="1" si="7">G247</f>
        <v>109.4999994537711</v>
      </c>
      <c r="H22" s="21">
        <f t="shared" ca="1" si="7"/>
        <v>115.39958489257209</v>
      </c>
      <c r="I22" s="21">
        <f t="shared" ca="1" si="7"/>
        <v>129.13873507340108</v>
      </c>
      <c r="J22" s="21">
        <f t="shared" ca="1" si="7"/>
        <v>146.06481231839462</v>
      </c>
    </row>
    <row r="23" spans="1:10" x14ac:dyDescent="0.25">
      <c r="A23" s="14"/>
      <c r="B23" s="14" t="s">
        <v>21</v>
      </c>
      <c r="C23" s="22">
        <v>-309</v>
      </c>
      <c r="D23" s="22">
        <v>-312</v>
      </c>
      <c r="E23" s="22">
        <v>-242</v>
      </c>
      <c r="F23" s="21">
        <f>-(F152)</f>
        <v>-310.125</v>
      </c>
      <c r="G23" s="21">
        <f t="shared" ref="G23:J23" si="8">-(G152)</f>
        <v>-259.5</v>
      </c>
      <c r="H23" s="21">
        <f t="shared" si="8"/>
        <v>-92.25</v>
      </c>
      <c r="I23" s="21">
        <f t="shared" si="8"/>
        <v>-72</v>
      </c>
      <c r="J23" s="21">
        <f t="shared" si="8"/>
        <v>-72</v>
      </c>
    </row>
    <row r="24" spans="1:10" x14ac:dyDescent="0.25">
      <c r="A24" s="14"/>
      <c r="B24" s="14" t="s">
        <v>22</v>
      </c>
      <c r="C24" s="22">
        <v>170</v>
      </c>
      <c r="D24" s="22">
        <v>282</v>
      </c>
      <c r="E24" s="22">
        <v>74</v>
      </c>
      <c r="F24" s="18">
        <f>E24</f>
        <v>74</v>
      </c>
      <c r="G24" s="18">
        <f t="shared" ref="G24:J24" si="9">F24</f>
        <v>74</v>
      </c>
      <c r="H24" s="18">
        <f t="shared" si="9"/>
        <v>74</v>
      </c>
      <c r="I24" s="18">
        <f t="shared" si="9"/>
        <v>74</v>
      </c>
      <c r="J24" s="18">
        <f t="shared" si="9"/>
        <v>74</v>
      </c>
    </row>
    <row r="25" spans="1:10" x14ac:dyDescent="0.25">
      <c r="A25" s="14"/>
      <c r="B25" s="19" t="s">
        <v>23</v>
      </c>
      <c r="C25" s="20">
        <f t="shared" ref="C25:F25" si="10">SUM(C22:C24)+C20</f>
        <v>3276</v>
      </c>
      <c r="D25" s="20">
        <f t="shared" si="10"/>
        <v>3013</v>
      </c>
      <c r="E25" s="20">
        <f t="shared" si="10"/>
        <v>2523</v>
      </c>
      <c r="F25" s="20">
        <f t="shared" ca="1" si="10"/>
        <v>3725.6365499995991</v>
      </c>
      <c r="G25" s="20">
        <f t="shared" ref="G25:J25" ca="1" si="11">SUM(G22:G24)+G20</f>
        <v>3877.7646844537694</v>
      </c>
      <c r="H25" s="20">
        <f t="shared" ca="1" si="11"/>
        <v>4248.6025041425719</v>
      </c>
      <c r="I25" s="20">
        <f t="shared" ca="1" si="11"/>
        <v>4490.1643002859018</v>
      </c>
      <c r="J25" s="20">
        <f t="shared" ca="1" si="11"/>
        <v>4725.0416557915196</v>
      </c>
    </row>
    <row r="26" spans="1:10" ht="5.25" customHeight="1" x14ac:dyDescent="0.25">
      <c r="A26" s="14"/>
      <c r="B26" s="14"/>
      <c r="C26" s="21"/>
      <c r="D26" s="21"/>
      <c r="E26" s="21"/>
      <c r="F26" s="21"/>
      <c r="G26" s="21"/>
      <c r="H26" s="21"/>
      <c r="I26" s="21"/>
      <c r="J26" s="21"/>
    </row>
    <row r="27" spans="1:10" x14ac:dyDescent="0.25">
      <c r="A27" s="14"/>
      <c r="B27" s="14" t="s">
        <v>24</v>
      </c>
      <c r="C27" s="22">
        <v>-750</v>
      </c>
      <c r="D27" s="22">
        <v>2314</v>
      </c>
      <c r="E27" s="22">
        <v>629</v>
      </c>
      <c r="F27" s="18">
        <f ca="1">-(F25*F42)</f>
        <v>-931.40913749989977</v>
      </c>
      <c r="G27" s="18">
        <f t="shared" ref="G27:J27" ca="1" si="12">-(G25*G42)</f>
        <v>-853.1082305798293</v>
      </c>
      <c r="H27" s="18">
        <f t="shared" ca="1" si="12"/>
        <v>-849.72050082851445</v>
      </c>
      <c r="I27" s="18">
        <f t="shared" ca="1" si="12"/>
        <v>-898.03286005718041</v>
      </c>
      <c r="J27" s="18">
        <f t="shared" ca="1" si="12"/>
        <v>-945.00833115830392</v>
      </c>
    </row>
    <row r="28" spans="1:10" ht="15.75" thickBot="1" x14ac:dyDescent="0.3">
      <c r="A28" s="14"/>
      <c r="B28" s="23" t="s">
        <v>25</v>
      </c>
      <c r="C28" s="24">
        <f t="shared" ref="C28:F28" si="13">C27+C25</f>
        <v>2526</v>
      </c>
      <c r="D28" s="24">
        <f t="shared" si="13"/>
        <v>5327</v>
      </c>
      <c r="E28" s="24">
        <f t="shared" si="13"/>
        <v>3152</v>
      </c>
      <c r="F28" s="24">
        <f t="shared" ca="1" si="13"/>
        <v>2794.2274124996993</v>
      </c>
      <c r="G28" s="24">
        <f t="shared" ref="G28:J28" ca="1" si="14">G27+G25</f>
        <v>3024.6564538739403</v>
      </c>
      <c r="H28" s="24">
        <f t="shared" ca="1" si="14"/>
        <v>3398.8820033140573</v>
      </c>
      <c r="I28" s="24">
        <f t="shared" ca="1" si="14"/>
        <v>3592.1314402287217</v>
      </c>
      <c r="J28" s="24">
        <f t="shared" ca="1" si="14"/>
        <v>3780.0333246332157</v>
      </c>
    </row>
    <row r="29" spans="1:10" ht="4.5" customHeight="1" thickTop="1" x14ac:dyDescent="0.25">
      <c r="A29" s="14"/>
      <c r="B29" s="14"/>
      <c r="C29" s="14"/>
      <c r="D29" s="14"/>
      <c r="E29" s="14"/>
      <c r="F29" s="14"/>
      <c r="G29" s="14"/>
      <c r="H29" s="14"/>
      <c r="I29" s="14"/>
      <c r="J29" s="14"/>
    </row>
    <row r="30" spans="1:10" x14ac:dyDescent="0.25">
      <c r="A30" s="14"/>
      <c r="B30" s="14" t="s">
        <v>26</v>
      </c>
      <c r="C30" s="17">
        <v>1688</v>
      </c>
      <c r="D30" s="17">
        <v>1615</v>
      </c>
      <c r="E30" s="17">
        <v>1515</v>
      </c>
      <c r="F30" s="18">
        <f>AVERAGE(F252,F255)</f>
        <v>1413.2000673108591</v>
      </c>
      <c r="G30" s="18">
        <f t="shared" ref="G30:J30" si="15">AVERAGE(G252,G255)</f>
        <v>1339.3987298424795</v>
      </c>
      <c r="H30" s="18">
        <f t="shared" si="15"/>
        <v>1276.9289439960896</v>
      </c>
      <c r="I30" s="18">
        <f t="shared" si="15"/>
        <v>1223.9884475160982</v>
      </c>
      <c r="J30" s="18">
        <f t="shared" si="15"/>
        <v>1179.1236199906816</v>
      </c>
    </row>
    <row r="31" spans="1:10" x14ac:dyDescent="0.25">
      <c r="A31" s="14"/>
      <c r="B31" s="14" t="s">
        <v>27</v>
      </c>
      <c r="C31" s="21">
        <f>C32-C30</f>
        <v>14</v>
      </c>
      <c r="D31" s="21">
        <f t="shared" ref="D31:E31" si="16">D32-D30</f>
        <v>19</v>
      </c>
      <c r="E31" s="21">
        <f t="shared" si="16"/>
        <v>9</v>
      </c>
      <c r="F31" s="22">
        <v>9</v>
      </c>
      <c r="G31" s="22">
        <v>9</v>
      </c>
      <c r="H31" s="22">
        <v>9</v>
      </c>
      <c r="I31" s="22">
        <v>9</v>
      </c>
      <c r="J31" s="22">
        <v>9</v>
      </c>
    </row>
    <row r="32" spans="1:10" x14ac:dyDescent="0.25">
      <c r="A32" s="14"/>
      <c r="B32" s="14" t="s">
        <v>28</v>
      </c>
      <c r="C32" s="22">
        <v>1702</v>
      </c>
      <c r="D32" s="22">
        <v>1634</v>
      </c>
      <c r="E32" s="22">
        <v>1524</v>
      </c>
      <c r="F32" s="18">
        <f>F30+F31</f>
        <v>1422.2000673108591</v>
      </c>
      <c r="G32" s="18">
        <f t="shared" ref="G32:J32" si="17">G30+G31</f>
        <v>1348.3987298424795</v>
      </c>
      <c r="H32" s="18">
        <f t="shared" si="17"/>
        <v>1285.9289439960896</v>
      </c>
      <c r="I32" s="18">
        <f t="shared" si="17"/>
        <v>1232.9884475160982</v>
      </c>
      <c r="J32" s="18">
        <f t="shared" si="17"/>
        <v>1188.1236199906816</v>
      </c>
    </row>
    <row r="33" spans="1:10" ht="5.25" customHeight="1" x14ac:dyDescent="0.25">
      <c r="A33" s="14"/>
      <c r="B33" s="14"/>
      <c r="C33" s="14"/>
      <c r="D33" s="14"/>
      <c r="E33" s="14"/>
      <c r="F33" s="14"/>
      <c r="G33" s="14"/>
      <c r="H33" s="14"/>
      <c r="I33" s="14"/>
      <c r="J33" s="14"/>
    </row>
    <row r="34" spans="1:10" x14ac:dyDescent="0.25">
      <c r="A34" s="14"/>
      <c r="B34" s="14" t="s">
        <v>29</v>
      </c>
      <c r="C34" s="25">
        <f>C28/C30</f>
        <v>1.4964454976303319</v>
      </c>
      <c r="D34" s="25">
        <f t="shared" ref="D34:E34" si="18">D28/D30</f>
        <v>3.2984520123839007</v>
      </c>
      <c r="E34" s="25">
        <f t="shared" si="18"/>
        <v>2.0805280528052807</v>
      </c>
      <c r="F34" s="26">
        <f ca="1">F28/F30</f>
        <v>1.9772341348785529</v>
      </c>
      <c r="G34" s="26">
        <f t="shared" ref="G34:J34" ca="1" si="19">G28/G30</f>
        <v>2.258219592480617</v>
      </c>
      <c r="H34" s="26">
        <f t="shared" ca="1" si="19"/>
        <v>2.6617628328459801</v>
      </c>
      <c r="I34" s="26">
        <f t="shared" ca="1" si="19"/>
        <v>2.9347756079874907</v>
      </c>
      <c r="J34" s="26">
        <f t="shared" ca="1" si="19"/>
        <v>3.2057990023667648</v>
      </c>
    </row>
    <row r="35" spans="1:10" x14ac:dyDescent="0.25">
      <c r="A35" s="14"/>
      <c r="B35" s="14" t="s">
        <v>30</v>
      </c>
      <c r="C35" s="25">
        <f>C28/C32</f>
        <v>1.4841363102232668</v>
      </c>
      <c r="D35" s="25">
        <f t="shared" ref="D35:F35" si="20">D28/D32</f>
        <v>3.2600979192166464</v>
      </c>
      <c r="E35" s="25">
        <f t="shared" si="20"/>
        <v>2.068241469816273</v>
      </c>
      <c r="F35" s="25">
        <f t="shared" ca="1" si="20"/>
        <v>1.9647217552050273</v>
      </c>
      <c r="G35" s="25">
        <f t="shared" ref="G35:J35" ca="1" si="21">G28/G32</f>
        <v>2.2431469171046179</v>
      </c>
      <c r="H35" s="25">
        <f t="shared" ca="1" si="21"/>
        <v>2.6431336032859316</v>
      </c>
      <c r="I35" s="25">
        <f t="shared" ca="1" si="21"/>
        <v>2.9133536875103787</v>
      </c>
      <c r="J35" s="25">
        <f t="shared" ca="1" si="21"/>
        <v>3.1815151731962557</v>
      </c>
    </row>
    <row r="36" spans="1:10" ht="5.25" customHeight="1" x14ac:dyDescent="0.25">
      <c r="A36" s="14"/>
      <c r="B36" s="14"/>
      <c r="C36" s="14"/>
      <c r="D36" s="14"/>
      <c r="E36" s="14"/>
      <c r="F36" s="14"/>
      <c r="G36" s="14"/>
      <c r="H36" s="14"/>
      <c r="I36" s="14"/>
      <c r="J36" s="14"/>
    </row>
    <row r="37" spans="1:10" x14ac:dyDescent="0.25">
      <c r="A37" s="14"/>
      <c r="B37" s="27" t="s">
        <v>31</v>
      </c>
      <c r="C37" s="14"/>
      <c r="D37" s="14"/>
      <c r="E37" s="14"/>
      <c r="F37" s="14"/>
      <c r="G37" s="14"/>
      <c r="H37" s="14"/>
      <c r="I37" s="14"/>
      <c r="J37" s="14"/>
    </row>
    <row r="38" spans="1:10" x14ac:dyDescent="0.25">
      <c r="A38" s="14"/>
      <c r="B38" s="14" t="s">
        <v>32</v>
      </c>
      <c r="C38" s="28"/>
      <c r="D38" s="29">
        <f>D14/C14-1</f>
        <v>0.12325188258798225</v>
      </c>
      <c r="E38" s="29">
        <f>E14/D14-1</f>
        <v>4.8570255848954247E-3</v>
      </c>
      <c r="F38" s="30">
        <f ca="1">SCENARIO!C5</f>
        <v>0.01</v>
      </c>
      <c r="G38" s="30">
        <f ca="1">SCENARIO!D5</f>
        <v>2.5000000000000001E-2</v>
      </c>
      <c r="H38" s="30">
        <f ca="1">SCENARIO!E5</f>
        <v>0.05</v>
      </c>
      <c r="I38" s="30">
        <f ca="1">SCENARIO!F5</f>
        <v>0.05</v>
      </c>
      <c r="J38" s="30">
        <f ca="1">SCENARIO!G5</f>
        <v>0.05</v>
      </c>
    </row>
    <row r="39" spans="1:10" x14ac:dyDescent="0.25">
      <c r="A39" s="14"/>
      <c r="B39" s="14" t="s">
        <v>33</v>
      </c>
      <c r="C39" s="29">
        <f>C16/C14</f>
        <v>0.18399416013523898</v>
      </c>
      <c r="D39" s="29">
        <f t="shared" ref="D39:E39" si="22">D16/D14</f>
        <v>0.18246340128608565</v>
      </c>
      <c r="E39" s="29">
        <f t="shared" si="22"/>
        <v>0.19010824426441555</v>
      </c>
      <c r="F39" s="30">
        <f ca="1">SCENARIO!C6</f>
        <v>0.185</v>
      </c>
      <c r="G39" s="30">
        <f ca="1">SCENARIO!D6</f>
        <v>0.185</v>
      </c>
      <c r="H39" s="30">
        <f ca="1">SCENARIO!E6</f>
        <v>0.185</v>
      </c>
      <c r="I39" s="30">
        <f ca="1">SCENARIO!F6</f>
        <v>0.185</v>
      </c>
      <c r="J39" s="30">
        <f ca="1">SCENARIO!G6</f>
        <v>0.185</v>
      </c>
    </row>
    <row r="40" spans="1:10" x14ac:dyDescent="0.25">
      <c r="A40" s="14"/>
      <c r="B40" s="14" t="s">
        <v>34</v>
      </c>
      <c r="C40" s="29">
        <f>-(C18/C14)</f>
        <v>2.2859996926386968E-2</v>
      </c>
      <c r="D40" s="29">
        <f>-(D18/D14)</f>
        <v>2.4011492680257217E-2</v>
      </c>
      <c r="E40" s="29">
        <f>-(E18/E14)</f>
        <v>2.5512288106746547E-2</v>
      </c>
      <c r="F40" s="30">
        <f ca="1">SCENARIO!C7</f>
        <v>2.5000000000000001E-2</v>
      </c>
      <c r="G40" s="30">
        <f ca="1">SCENARIO!D7</f>
        <v>2.5000000000000001E-2</v>
      </c>
      <c r="H40" s="30">
        <f ca="1">SCENARIO!E7</f>
        <v>2.5000000000000001E-2</v>
      </c>
      <c r="I40" s="30">
        <f ca="1">SCENARIO!F7</f>
        <v>2.5000000000000001E-2</v>
      </c>
      <c r="J40" s="30">
        <f ca="1">SCENARIO!G7</f>
        <v>2.5000000000000001E-2</v>
      </c>
    </row>
    <row r="41" spans="1:10" x14ac:dyDescent="0.25">
      <c r="A41" s="14"/>
      <c r="B41" s="14" t="s">
        <v>35</v>
      </c>
      <c r="C41" s="29">
        <f>-(C19/C14)</f>
        <v>9.6434608882741663E-2</v>
      </c>
      <c r="D41" s="29">
        <f>-(D19/D14)</f>
        <v>9.293336981803256E-2</v>
      </c>
      <c r="E41" s="29">
        <f>-(E19/E14)</f>
        <v>9.8611205664102392E-2</v>
      </c>
      <c r="F41" s="30">
        <f ca="1">SCENARIO!C8</f>
        <v>9.5000000000000001E-2</v>
      </c>
      <c r="G41" s="30">
        <f ca="1">SCENARIO!D8</f>
        <v>9.5000000000000001E-2</v>
      </c>
      <c r="H41" s="30">
        <f ca="1">SCENARIO!E8</f>
        <v>9.5000000000000001E-2</v>
      </c>
      <c r="I41" s="30">
        <f ca="1">SCENARIO!F8</f>
        <v>9.5000000000000001E-2</v>
      </c>
      <c r="J41" s="30">
        <f ca="1">SCENARIO!G8</f>
        <v>9.5000000000000001E-2</v>
      </c>
    </row>
    <row r="42" spans="1:10" ht="15" customHeight="1" x14ac:dyDescent="0.25">
      <c r="A42" s="14"/>
      <c r="B42" s="14" t="s">
        <v>36</v>
      </c>
      <c r="C42" s="32">
        <f>-(C27/C25)</f>
        <v>0.22893772893772893</v>
      </c>
      <c r="D42" s="32">
        <f>D27/D25</f>
        <v>0.76800531032193831</v>
      </c>
      <c r="E42" s="32">
        <f>E27/E25</f>
        <v>0.24930638129211258</v>
      </c>
      <c r="F42" s="31">
        <v>0.25</v>
      </c>
      <c r="G42" s="31">
        <v>0.22</v>
      </c>
      <c r="H42" s="31">
        <v>0.2</v>
      </c>
      <c r="I42" s="31">
        <v>0.2</v>
      </c>
      <c r="J42" s="31">
        <v>0.2</v>
      </c>
    </row>
    <row r="43" spans="1:10" ht="5.25" customHeight="1" x14ac:dyDescent="0.25">
      <c r="A43" s="14"/>
      <c r="B43" s="14"/>
      <c r="C43" s="14"/>
      <c r="D43" s="14"/>
      <c r="E43" s="14"/>
      <c r="F43" s="14"/>
      <c r="G43" s="14"/>
      <c r="H43" s="14"/>
      <c r="I43" s="14"/>
      <c r="J43" s="14"/>
    </row>
    <row r="44" spans="1:10" x14ac:dyDescent="0.25">
      <c r="A44" s="14"/>
      <c r="B44" s="27" t="s">
        <v>37</v>
      </c>
      <c r="C44" s="14"/>
      <c r="D44" s="14"/>
      <c r="E44" s="14"/>
      <c r="F44" s="14"/>
      <c r="G44" s="14"/>
      <c r="H44" s="14"/>
      <c r="I44" s="14"/>
      <c r="J44" s="14"/>
    </row>
    <row r="45" spans="1:10" x14ac:dyDescent="0.25">
      <c r="A45" s="14"/>
      <c r="B45" s="14" t="s">
        <v>38</v>
      </c>
      <c r="C45" s="22">
        <v>354</v>
      </c>
      <c r="D45" s="22">
        <v>528</v>
      </c>
      <c r="E45" s="22">
        <v>744</v>
      </c>
      <c r="F45" s="18">
        <f t="shared" ref="F45:J45" ca="1" si="23">-(F119+F130)</f>
        <v>781.61505</v>
      </c>
      <c r="G45" s="18">
        <f t="shared" ca="1" si="23"/>
        <v>1150.0615329999998</v>
      </c>
      <c r="H45" s="18">
        <f t="shared" ca="1" si="23"/>
        <v>1201.7646096499998</v>
      </c>
      <c r="I45" s="18">
        <f t="shared" ca="1" si="23"/>
        <v>1140.8858302664062</v>
      </c>
      <c r="J45" s="18">
        <f t="shared" ca="1" si="23"/>
        <v>1219.8432715957113</v>
      </c>
    </row>
    <row r="46" spans="1:10" x14ac:dyDescent="0.25">
      <c r="A46" s="14"/>
      <c r="B46" s="14" t="s">
        <v>39</v>
      </c>
      <c r="C46" s="22">
        <v>153</v>
      </c>
      <c r="D46" s="22">
        <v>209</v>
      </c>
      <c r="E46" s="22">
        <v>250</v>
      </c>
      <c r="F46" s="18">
        <f ca="1">F167</f>
        <v>249.68802869999996</v>
      </c>
      <c r="G46" s="18">
        <f t="shared" ref="G46:J46" ca="1" si="24">G167</f>
        <v>255.93022941749993</v>
      </c>
      <c r="H46" s="18">
        <f t="shared" ca="1" si="24"/>
        <v>268.72674088837493</v>
      </c>
      <c r="I46" s="18">
        <f t="shared" ca="1" si="24"/>
        <v>282.16307793279373</v>
      </c>
      <c r="J46" s="18">
        <f t="shared" ca="1" si="24"/>
        <v>296.27123182943348</v>
      </c>
    </row>
    <row r="47" spans="1:10" x14ac:dyDescent="0.25">
      <c r="A47" s="14"/>
      <c r="B47" s="19" t="s">
        <v>40</v>
      </c>
      <c r="C47" s="20">
        <f t="shared" ref="C47:J47" si="25">C20+C45+C46</f>
        <v>3875</v>
      </c>
      <c r="D47" s="20">
        <f t="shared" si="25"/>
        <v>4568</v>
      </c>
      <c r="E47" s="20">
        <f t="shared" si="25"/>
        <v>4871</v>
      </c>
      <c r="F47" s="20">
        <f t="shared" ca="1" si="25"/>
        <v>4888.6344787000016</v>
      </c>
      <c r="G47" s="20">
        <f t="shared" ca="1" si="25"/>
        <v>5359.7564474174978</v>
      </c>
      <c r="H47" s="20">
        <f t="shared" ca="1" si="25"/>
        <v>5621.9442697883733</v>
      </c>
      <c r="I47" s="20">
        <f t="shared" ca="1" si="25"/>
        <v>5782.0744734116997</v>
      </c>
      <c r="J47" s="20">
        <f t="shared" ca="1" si="25"/>
        <v>6093.0913468982699</v>
      </c>
    </row>
    <row r="48" spans="1:10" ht="5.25" customHeight="1" x14ac:dyDescent="0.25"/>
    <row r="49" spans="1:10" s="14" customFormat="1" ht="28.5" x14ac:dyDescent="0.45">
      <c r="A49" s="13" t="s">
        <v>12</v>
      </c>
      <c r="B49" s="4" t="s">
        <v>41</v>
      </c>
      <c r="C49" s="2"/>
      <c r="D49" s="2"/>
      <c r="E49" s="2"/>
      <c r="F49" s="2"/>
      <c r="G49" s="2"/>
      <c r="H49" s="2"/>
      <c r="I49" s="2"/>
      <c r="J49" s="2"/>
    </row>
    <row r="50" spans="1:10" s="14" customFormat="1" ht="5.25" customHeight="1" x14ac:dyDescent="0.25"/>
    <row r="51" spans="1:10" s="14" customFormat="1" x14ac:dyDescent="0.25">
      <c r="B51" s="27" t="s">
        <v>42</v>
      </c>
    </row>
    <row r="52" spans="1:10" s="14" customFormat="1" x14ac:dyDescent="0.25">
      <c r="B52" s="14" t="s">
        <v>64</v>
      </c>
      <c r="D52" s="15">
        <v>5166</v>
      </c>
      <c r="E52" s="15">
        <v>4537</v>
      </c>
      <c r="F52" s="34">
        <f ca="1">E52+F220</f>
        <v>4999.9999999633164</v>
      </c>
      <c r="G52" s="34">
        <f t="shared" ref="G52:J52" ca="1" si="26">F52+G220</f>
        <v>4999.9999982473382</v>
      </c>
      <c r="H52" s="34">
        <f t="shared" ca="1" si="26"/>
        <v>5538.7749727413093</v>
      </c>
      <c r="I52" s="34">
        <f t="shared" ca="1" si="26"/>
        <v>6254.7173015119188</v>
      </c>
      <c r="J52" s="34">
        <f t="shared" ca="1" si="26"/>
        <v>7084.5355256621642</v>
      </c>
    </row>
    <row r="53" spans="1:10" s="14" customFormat="1" x14ac:dyDescent="0.25">
      <c r="B53" s="14" t="s">
        <v>43</v>
      </c>
      <c r="D53" s="22">
        <v>5113</v>
      </c>
      <c r="E53" s="22">
        <v>6031</v>
      </c>
      <c r="F53" s="18">
        <f ca="1">F89</f>
        <v>6527.7915999999996</v>
      </c>
      <c r="G53" s="18">
        <f t="shared" ref="G53:J53" ca="1" si="27">G89</f>
        <v>6690.9863899999991</v>
      </c>
      <c r="H53" s="18">
        <f t="shared" ca="1" si="27"/>
        <v>7025.535709499999</v>
      </c>
      <c r="I53" s="18">
        <f t="shared" ca="1" si="27"/>
        <v>7376.8124949749999</v>
      </c>
      <c r="J53" s="18">
        <f t="shared" ca="1" si="27"/>
        <v>7745.6531197237509</v>
      </c>
    </row>
    <row r="54" spans="1:10" s="14" customFormat="1" x14ac:dyDescent="0.25">
      <c r="B54" s="14" t="s">
        <v>44</v>
      </c>
      <c r="D54" s="22">
        <v>6062</v>
      </c>
      <c r="E54" s="22">
        <v>5734</v>
      </c>
      <c r="F54" s="18">
        <f ca="1">F97</f>
        <v>5803.8001679999988</v>
      </c>
      <c r="G54" s="18">
        <f t="shared" ref="G54:J54" ca="1" si="28">G97</f>
        <v>5948.8951721999983</v>
      </c>
      <c r="H54" s="18">
        <f t="shared" ca="1" si="28"/>
        <v>6246.3399308099988</v>
      </c>
      <c r="I54" s="18">
        <f t="shared" ca="1" si="28"/>
        <v>6558.6569273505002</v>
      </c>
      <c r="J54" s="18">
        <f t="shared" ca="1" si="28"/>
        <v>6886.5897737180248</v>
      </c>
    </row>
    <row r="55" spans="1:10" s="14" customFormat="1" ht="15.75" customHeight="1" x14ac:dyDescent="0.25">
      <c r="B55" s="14" t="s">
        <v>66</v>
      </c>
      <c r="D55" s="22">
        <v>2198</v>
      </c>
      <c r="E55" s="22">
        <v>2794</v>
      </c>
      <c r="F55" s="35">
        <f ca="1">F115</f>
        <v>2868.1794500000001</v>
      </c>
      <c r="G55" s="35">
        <f t="shared" ref="G55:J55" ca="1" si="29">G115</f>
        <v>3050.6608969999997</v>
      </c>
      <c r="H55" s="35">
        <f t="shared" ca="1" si="29"/>
        <v>3242.2664163499999</v>
      </c>
      <c r="I55" s="35">
        <f t="shared" ca="1" si="29"/>
        <v>3388.9643921023439</v>
      </c>
      <c r="J55" s="35">
        <f t="shared" ca="1" si="29"/>
        <v>3481.3841168263207</v>
      </c>
    </row>
    <row r="56" spans="1:10" s="14" customFormat="1" ht="15.75" customHeight="1" x14ac:dyDescent="0.25">
      <c r="B56" s="14" t="s">
        <v>69</v>
      </c>
      <c r="D56" s="22">
        <v>5968</v>
      </c>
      <c r="E56" s="22">
        <v>6372</v>
      </c>
      <c r="F56" s="35">
        <f>F127</f>
        <v>6258</v>
      </c>
      <c r="G56" s="35">
        <f t="shared" ref="G56:J56" si="30">G127</f>
        <v>6142</v>
      </c>
      <c r="H56" s="35">
        <f t="shared" si="30"/>
        <v>6026</v>
      </c>
      <c r="I56" s="35">
        <f t="shared" si="30"/>
        <v>5912</v>
      </c>
      <c r="J56" s="35">
        <f t="shared" si="30"/>
        <v>5832</v>
      </c>
    </row>
    <row r="57" spans="1:10" s="14" customFormat="1" ht="15.75" customHeight="1" x14ac:dyDescent="0.25">
      <c r="B57" s="14" t="s">
        <v>65</v>
      </c>
      <c r="D57" s="22">
        <v>0</v>
      </c>
      <c r="E57" s="22">
        <v>0</v>
      </c>
      <c r="F57" s="35">
        <f>E57</f>
        <v>0</v>
      </c>
      <c r="G57" s="35">
        <f t="shared" ref="G57:J57" si="31">F57</f>
        <v>0</v>
      </c>
      <c r="H57" s="35">
        <f t="shared" si="31"/>
        <v>0</v>
      </c>
      <c r="I57" s="35">
        <f t="shared" si="31"/>
        <v>0</v>
      </c>
      <c r="J57" s="35">
        <f t="shared" si="31"/>
        <v>0</v>
      </c>
    </row>
    <row r="58" spans="1:10" s="14" customFormat="1" x14ac:dyDescent="0.25">
      <c r="B58" s="40" t="s">
        <v>68</v>
      </c>
      <c r="D58" s="22">
        <f>5046+5069</f>
        <v>10115</v>
      </c>
      <c r="E58" s="22">
        <f>3875+4124</f>
        <v>7999</v>
      </c>
      <c r="F58" s="18">
        <f>F137</f>
        <v>7999</v>
      </c>
      <c r="G58" s="18">
        <f t="shared" ref="G58:J58" si="32">G137</f>
        <v>7999</v>
      </c>
      <c r="H58" s="18">
        <f t="shared" si="32"/>
        <v>7999</v>
      </c>
      <c r="I58" s="18">
        <f t="shared" si="32"/>
        <v>7999</v>
      </c>
      <c r="J58" s="18">
        <f t="shared" si="32"/>
        <v>7999</v>
      </c>
    </row>
    <row r="59" spans="1:10" s="27" customFormat="1" ht="16.5" customHeight="1" thickBot="1" x14ac:dyDescent="0.3">
      <c r="B59" s="23" t="s">
        <v>45</v>
      </c>
      <c r="C59" s="23"/>
      <c r="D59" s="24">
        <f>SUM(D52:D58)</f>
        <v>34622</v>
      </c>
      <c r="E59" s="36">
        <f>SUM(E52:E58)</f>
        <v>33467</v>
      </c>
      <c r="F59" s="36">
        <f ca="1">SUM(F52:F58)</f>
        <v>34456.771217963309</v>
      </c>
      <c r="G59" s="36">
        <f t="shared" ref="G59:J59" ca="1" si="33">SUM(G52:G58)</f>
        <v>34831.542457447336</v>
      </c>
      <c r="H59" s="36">
        <f t="shared" ca="1" si="33"/>
        <v>36077.917029401309</v>
      </c>
      <c r="I59" s="36">
        <f t="shared" ca="1" si="33"/>
        <v>37490.151115939763</v>
      </c>
      <c r="J59" s="36">
        <f t="shared" ca="1" si="33"/>
        <v>39029.162535930256</v>
      </c>
    </row>
    <row r="60" spans="1:10" s="14" customFormat="1" ht="5.25" customHeight="1" thickTop="1" x14ac:dyDescent="0.25">
      <c r="B60" s="33"/>
      <c r="D60" s="21"/>
      <c r="E60" s="21"/>
      <c r="F60" s="21"/>
      <c r="G60" s="21"/>
      <c r="H60" s="21"/>
      <c r="I60" s="21"/>
      <c r="J60" s="21"/>
    </row>
    <row r="61" spans="1:10" s="14" customFormat="1" x14ac:dyDescent="0.25">
      <c r="B61" s="27" t="s">
        <v>46</v>
      </c>
      <c r="D61" s="21"/>
      <c r="E61" s="21"/>
      <c r="F61" s="21"/>
      <c r="G61" s="21"/>
      <c r="H61" s="21"/>
      <c r="I61" s="21"/>
      <c r="J61" s="21"/>
    </row>
    <row r="62" spans="1:10" s="14" customFormat="1" x14ac:dyDescent="0.25">
      <c r="B62" s="41" t="s">
        <v>47</v>
      </c>
      <c r="D62" s="22">
        <f>1463+14816</f>
        <v>16279</v>
      </c>
      <c r="E62" s="22">
        <f>357+14793</f>
        <v>15150</v>
      </c>
      <c r="F62" s="18">
        <f ca="1">F105</f>
        <v>15476.800447999998</v>
      </c>
      <c r="G62" s="18">
        <f t="shared" ref="G62:J62" ca="1" si="34">G105</f>
        <v>15863.720459199998</v>
      </c>
      <c r="H62" s="18">
        <f t="shared" ca="1" si="34"/>
        <v>16656.906482159997</v>
      </c>
      <c r="I62" s="18">
        <f t="shared" ca="1" si="34"/>
        <v>17489.751806267999</v>
      </c>
      <c r="J62" s="18">
        <f t="shared" ca="1" si="34"/>
        <v>18364.239396581401</v>
      </c>
    </row>
    <row r="63" spans="1:10" s="14" customFormat="1" x14ac:dyDescent="0.25">
      <c r="B63" s="41" t="s">
        <v>48</v>
      </c>
      <c r="D63" s="22">
        <v>0</v>
      </c>
      <c r="E63" s="22">
        <v>0</v>
      </c>
      <c r="F63" s="21">
        <f ca="1">F226</f>
        <v>432.06477937407362</v>
      </c>
      <c r="G63" s="21">
        <f t="shared" ref="G63:J63" ca="1" si="35">G226</f>
        <v>43.765638786809632</v>
      </c>
      <c r="H63" s="21">
        <f t="shared" ca="1" si="35"/>
        <v>0</v>
      </c>
      <c r="I63" s="21">
        <f t="shared" ca="1" si="35"/>
        <v>0</v>
      </c>
      <c r="J63" s="21">
        <f t="shared" ca="1" si="35"/>
        <v>0</v>
      </c>
    </row>
    <row r="64" spans="1:10" s="14" customFormat="1" x14ac:dyDescent="0.25">
      <c r="B64" s="41" t="s">
        <v>49</v>
      </c>
      <c r="D64" s="22">
        <v>4524</v>
      </c>
      <c r="E64" s="22">
        <v>4780</v>
      </c>
      <c r="F64" s="18">
        <f>F150</f>
        <v>4780</v>
      </c>
      <c r="G64" s="18">
        <f t="shared" ref="G64:J64" si="36">G150</f>
        <v>4831.8999999999996</v>
      </c>
      <c r="H64" s="18">
        <f t="shared" si="36"/>
        <v>4850.3499999999995</v>
      </c>
      <c r="I64" s="18">
        <f t="shared" si="36"/>
        <v>4864.7499999999991</v>
      </c>
      <c r="J64" s="18">
        <f t="shared" si="36"/>
        <v>4879.1499999999987</v>
      </c>
    </row>
    <row r="65" spans="2:10" s="14" customFormat="1" x14ac:dyDescent="0.25">
      <c r="B65" s="41" t="s">
        <v>50</v>
      </c>
      <c r="D65" s="22">
        <f>8852+5606</f>
        <v>14458</v>
      </c>
      <c r="E65" s="22">
        <f>10143+4587</f>
        <v>14730</v>
      </c>
      <c r="F65" s="18">
        <f>F142</f>
        <v>14955</v>
      </c>
      <c r="G65" s="18">
        <f t="shared" ref="G65:J65" si="37">G142</f>
        <v>15180</v>
      </c>
      <c r="H65" s="18">
        <f t="shared" si="37"/>
        <v>15405</v>
      </c>
      <c r="I65" s="18">
        <f t="shared" si="37"/>
        <v>15630</v>
      </c>
      <c r="J65" s="18">
        <f t="shared" si="37"/>
        <v>15855</v>
      </c>
    </row>
    <row r="66" spans="2:10" s="27" customFormat="1" ht="15.75" thickBot="1" x14ac:dyDescent="0.3">
      <c r="B66" s="23" t="s">
        <v>51</v>
      </c>
      <c r="C66" s="23"/>
      <c r="D66" s="24">
        <f>SUM(D62:D65)</f>
        <v>35261</v>
      </c>
      <c r="E66" s="24">
        <f>SUM(E62:E65)</f>
        <v>34660</v>
      </c>
      <c r="F66" s="24">
        <f ca="1">SUM(F62:F65)</f>
        <v>35643.865227374074</v>
      </c>
      <c r="G66" s="24">
        <f t="shared" ref="G66:J66" ca="1" si="38">SUM(G62:G65)</f>
        <v>35919.386097986804</v>
      </c>
      <c r="H66" s="24">
        <f t="shared" ca="1" si="38"/>
        <v>36912.256482159995</v>
      </c>
      <c r="I66" s="24">
        <f t="shared" ca="1" si="38"/>
        <v>37984.501806268003</v>
      </c>
      <c r="J66" s="24">
        <f t="shared" ca="1" si="38"/>
        <v>39098.389396581399</v>
      </c>
    </row>
    <row r="67" spans="2:10" s="14" customFormat="1" ht="5.25" customHeight="1" thickTop="1" x14ac:dyDescent="0.25">
      <c r="B67" s="41"/>
      <c r="D67" s="21"/>
      <c r="E67" s="21"/>
      <c r="F67" s="21"/>
      <c r="G67" s="21"/>
      <c r="H67" s="21"/>
      <c r="I67" s="21"/>
      <c r="J67" s="21"/>
    </row>
    <row r="68" spans="2:10" s="14" customFormat="1" x14ac:dyDescent="0.25">
      <c r="B68" s="27" t="s">
        <v>52</v>
      </c>
      <c r="D68" s="21"/>
      <c r="E68" s="21"/>
      <c r="F68" s="21"/>
      <c r="G68" s="21"/>
      <c r="H68" s="21"/>
      <c r="I68" s="21"/>
      <c r="J68" s="21"/>
    </row>
    <row r="69" spans="2:10" s="14" customFormat="1" x14ac:dyDescent="0.25">
      <c r="B69" s="41" t="s">
        <v>53</v>
      </c>
      <c r="D69" s="22">
        <f>16+663</f>
        <v>679</v>
      </c>
      <c r="E69" s="22">
        <f>15+835</f>
        <v>850</v>
      </c>
      <c r="F69" s="18">
        <f ca="1">F164</f>
        <v>1099.6880286999999</v>
      </c>
      <c r="G69" s="18">
        <f t="shared" ref="G69:J69" ca="1" si="39">G164</f>
        <v>1355.6182581174999</v>
      </c>
      <c r="H69" s="18">
        <f t="shared" ca="1" si="39"/>
        <v>1624.3449990058748</v>
      </c>
      <c r="I69" s="18">
        <f t="shared" ca="1" si="39"/>
        <v>1906.5080769386686</v>
      </c>
      <c r="J69" s="18">
        <f t="shared" ca="1" si="39"/>
        <v>2202.7793087681021</v>
      </c>
    </row>
    <row r="70" spans="2:10" s="14" customFormat="1" x14ac:dyDescent="0.25">
      <c r="B70" s="41" t="s">
        <v>54</v>
      </c>
      <c r="D70" s="22">
        <v>0</v>
      </c>
      <c r="E70" s="22">
        <v>0</v>
      </c>
      <c r="F70" s="18">
        <f>F173</f>
        <v>-1300</v>
      </c>
      <c r="G70" s="18">
        <f t="shared" ref="G70:J70" si="40">G173</f>
        <v>-2600</v>
      </c>
      <c r="H70" s="18">
        <f t="shared" si="40"/>
        <v>-3900</v>
      </c>
      <c r="I70" s="18">
        <f t="shared" si="40"/>
        <v>-5200</v>
      </c>
      <c r="J70" s="18">
        <f t="shared" si="40"/>
        <v>-6500</v>
      </c>
    </row>
    <row r="71" spans="2:10" s="14" customFormat="1" x14ac:dyDescent="0.25">
      <c r="B71" s="41" t="s">
        <v>70</v>
      </c>
      <c r="D71" s="22">
        <v>-473</v>
      </c>
      <c r="E71" s="22">
        <v>-818</v>
      </c>
      <c r="F71" s="18">
        <f ca="1">F183</f>
        <v>238.21796192592683</v>
      </c>
      <c r="G71" s="18">
        <f t="shared" ref="G71:J71" ca="1" si="41">G183</f>
        <v>1381.5381027972146</v>
      </c>
      <c r="H71" s="18">
        <f t="shared" ca="1" si="41"/>
        <v>2666.3155017105069</v>
      </c>
      <c r="I71" s="18">
        <f t="shared" ca="1" si="41"/>
        <v>4024.1411859808104</v>
      </c>
      <c r="J71" s="18">
        <f t="shared" ca="1" si="41"/>
        <v>5452.993783443334</v>
      </c>
    </row>
    <row r="72" spans="2:10" s="14" customFormat="1" x14ac:dyDescent="0.25">
      <c r="B72" s="41" t="s">
        <v>55</v>
      </c>
      <c r="D72" s="22">
        <v>-845</v>
      </c>
      <c r="E72" s="22">
        <v>-1225</v>
      </c>
      <c r="F72" s="18">
        <f>F192</f>
        <v>-1225</v>
      </c>
      <c r="G72" s="18">
        <f t="shared" ref="G72:J72" si="42">G192</f>
        <v>-1225</v>
      </c>
      <c r="H72" s="18">
        <f t="shared" si="42"/>
        <v>-1225</v>
      </c>
      <c r="I72" s="18">
        <f t="shared" si="42"/>
        <v>-1225</v>
      </c>
      <c r="J72" s="18">
        <f t="shared" si="42"/>
        <v>-1225</v>
      </c>
    </row>
    <row r="73" spans="2:10" s="27" customFormat="1" ht="15.75" thickBot="1" x14ac:dyDescent="0.3">
      <c r="B73" s="23" t="s">
        <v>56</v>
      </c>
      <c r="C73" s="23"/>
      <c r="D73" s="24">
        <f t="shared" ref="D73:F73" si="43">SUM(D69:D72)</f>
        <v>-639</v>
      </c>
      <c r="E73" s="24">
        <f t="shared" si="43"/>
        <v>-1193</v>
      </c>
      <c r="F73" s="24">
        <f t="shared" ca="1" si="43"/>
        <v>-1187.0940093740733</v>
      </c>
      <c r="G73" s="24">
        <f t="shared" ref="G73:J73" ca="1" si="44">SUM(G69:G72)</f>
        <v>-1087.8436390852855</v>
      </c>
      <c r="H73" s="24">
        <f t="shared" ca="1" si="44"/>
        <v>-834.33949928361835</v>
      </c>
      <c r="I73" s="24">
        <f t="shared" ca="1" si="44"/>
        <v>-494.35073708052096</v>
      </c>
      <c r="J73" s="24">
        <f t="shared" ca="1" si="44"/>
        <v>-69.226907788563949</v>
      </c>
    </row>
    <row r="74" spans="2:10" s="14" customFormat="1" ht="5.25" customHeight="1" thickTop="1" x14ac:dyDescent="0.25">
      <c r="B74" s="41"/>
    </row>
    <row r="75" spans="2:10" s="14" customFormat="1" x14ac:dyDescent="0.25">
      <c r="B75" s="42" t="s">
        <v>57</v>
      </c>
      <c r="D75" s="38">
        <f>ROUND(D59-SUM(D73,D66),3)</f>
        <v>0</v>
      </c>
      <c r="E75" s="38">
        <f t="shared" ref="E75:F75" si="45">ROUND(E59-SUM(E73,E66),3)</f>
        <v>0</v>
      </c>
      <c r="F75" s="38">
        <f t="shared" ca="1" si="45"/>
        <v>0</v>
      </c>
      <c r="G75" s="38">
        <f t="shared" ref="G75:J75" ca="1" si="46">ROUND(G59-SUM(G73,G66),3)</f>
        <v>0</v>
      </c>
      <c r="H75" s="38">
        <f t="shared" ca="1" si="46"/>
        <v>0</v>
      </c>
      <c r="I75" s="38">
        <f t="shared" ca="1" si="46"/>
        <v>0</v>
      </c>
      <c r="J75" s="38">
        <f t="shared" ca="1" si="46"/>
        <v>0</v>
      </c>
    </row>
    <row r="76" spans="2:10" s="14" customFormat="1" ht="5.25" customHeight="1" x14ac:dyDescent="0.25">
      <c r="B76" s="41"/>
    </row>
    <row r="77" spans="2:10" s="14" customFormat="1" x14ac:dyDescent="0.25">
      <c r="B77" s="27" t="s">
        <v>58</v>
      </c>
    </row>
    <row r="78" spans="2:10" s="14" customFormat="1" x14ac:dyDescent="0.25">
      <c r="B78" s="41" t="s">
        <v>59</v>
      </c>
      <c r="D78" s="18">
        <f>D64+D63-D52</f>
        <v>-642</v>
      </c>
      <c r="E78" s="18">
        <f>E64+E63-E52</f>
        <v>243</v>
      </c>
      <c r="F78" s="18">
        <f t="shared" ref="F78:J78" ca="1" si="47">F64+F63-F52</f>
        <v>212.06477941075718</v>
      </c>
      <c r="G78" s="18">
        <f t="shared" ca="1" si="47"/>
        <v>-124.3343594605285</v>
      </c>
      <c r="H78" s="18">
        <f t="shared" ca="1" si="47"/>
        <v>-688.42497274130983</v>
      </c>
      <c r="I78" s="18">
        <f t="shared" ca="1" si="47"/>
        <v>-1389.9673015119197</v>
      </c>
      <c r="J78" s="18">
        <f t="shared" ca="1" si="47"/>
        <v>-2205.3855256621655</v>
      </c>
    </row>
    <row r="79" spans="2:10" s="14" customFormat="1" x14ac:dyDescent="0.25">
      <c r="B79" s="41" t="s">
        <v>60</v>
      </c>
      <c r="D79" s="39">
        <f>D14/D59</f>
        <v>1.6888683496042978</v>
      </c>
      <c r="E79" s="39">
        <f>E14/E59</f>
        <v>1.7556398840648997</v>
      </c>
      <c r="F79" s="39">
        <f t="shared" ref="F79:J79" ca="1" si="48">F14/F59</f>
        <v>1.7222611957635336</v>
      </c>
      <c r="G79" s="39">
        <f t="shared" ca="1" si="48"/>
        <v>1.7463237258100388</v>
      </c>
      <c r="H79" s="39">
        <f t="shared" ca="1" si="48"/>
        <v>1.7702936230478894</v>
      </c>
      <c r="I79" s="39">
        <f t="shared" ca="1" si="48"/>
        <v>1.7887879823452391</v>
      </c>
      <c r="J79" s="39">
        <f t="shared" ca="1" si="48"/>
        <v>1.8041644705110162</v>
      </c>
    </row>
    <row r="80" spans="2:10" s="14" customFormat="1" x14ac:dyDescent="0.25">
      <c r="B80" s="41" t="s">
        <v>61</v>
      </c>
      <c r="D80" s="29">
        <f>D28/D14</f>
        <v>9.1103434122314961E-2</v>
      </c>
      <c r="E80" s="29">
        <f>E28/E14</f>
        <v>5.3645585131731226E-2</v>
      </c>
      <c r="F80" s="29">
        <f t="shared" ref="F80:J80" ca="1" si="49">F28/F14</f>
        <v>4.7085604781710089E-2</v>
      </c>
      <c r="G80" s="29">
        <f t="shared" ca="1" si="49"/>
        <v>4.9725435165043505E-2</v>
      </c>
      <c r="H80" s="29">
        <f t="shared" ca="1" si="49"/>
        <v>5.3216869976048388E-2</v>
      </c>
      <c r="I80" s="29">
        <f t="shared" ca="1" si="49"/>
        <v>5.356438959161839E-2</v>
      </c>
      <c r="J80" s="29">
        <f t="shared" ca="1" si="49"/>
        <v>5.3682195585397371E-2</v>
      </c>
    </row>
    <row r="81" spans="1:10" s="14" customFormat="1" x14ac:dyDescent="0.25">
      <c r="B81" s="41" t="s">
        <v>62</v>
      </c>
      <c r="D81" s="43">
        <f>D28/D59</f>
        <v>0.15386170642943792</v>
      </c>
      <c r="E81" s="43">
        <f>E28/E59</f>
        <v>9.4182328861266318E-2</v>
      </c>
      <c r="F81" s="43">
        <f t="shared" ref="F81:J81" ca="1" si="50">F28/F59</f>
        <v>8.1093709994597168E-2</v>
      </c>
      <c r="G81" s="43">
        <f t="shared" ca="1" si="50"/>
        <v>8.6836707204944297E-2</v>
      </c>
      <c r="H81" s="43">
        <f t="shared" ca="1" si="50"/>
        <v>9.4209485557167141E-2</v>
      </c>
      <c r="I81" s="43">
        <f t="shared" ca="1" si="50"/>
        <v>9.5815336383145377E-2</v>
      </c>
      <c r="J81" s="43">
        <f t="shared" ca="1" si="50"/>
        <v>9.6851509974197267E-2</v>
      </c>
    </row>
    <row r="82" spans="1:10" s="14" customFormat="1" x14ac:dyDescent="0.25">
      <c r="B82" s="41" t="s">
        <v>63</v>
      </c>
      <c r="D82" s="29">
        <f>D28/D73</f>
        <v>-8.3364632237871668</v>
      </c>
      <c r="E82" s="29">
        <f>E28/E73</f>
        <v>-2.6420787929589271</v>
      </c>
      <c r="F82" s="29">
        <f t="shared" ref="F82:J82" ca="1" si="51">F28/F73</f>
        <v>-2.353838356890563</v>
      </c>
      <c r="G82" s="29">
        <f t="shared" ca="1" si="51"/>
        <v>-2.7804147077765937</v>
      </c>
      <c r="H82" s="29">
        <f t="shared" ca="1" si="51"/>
        <v>-4.0737397740756727</v>
      </c>
      <c r="I82" s="29">
        <f t="shared" ca="1" si="51"/>
        <v>-7.2663620599469789</v>
      </c>
      <c r="J82" s="29">
        <f t="shared" ca="1" si="51"/>
        <v>-54.603526943285836</v>
      </c>
    </row>
    <row r="84" spans="1:10" s="14" customFormat="1" ht="23.25" x14ac:dyDescent="0.35">
      <c r="A84" s="49"/>
      <c r="B84" s="50" t="s">
        <v>73</v>
      </c>
      <c r="C84" s="49"/>
      <c r="D84" s="49"/>
      <c r="E84" s="49"/>
      <c r="F84" s="49"/>
      <c r="G84" s="49"/>
      <c r="H84" s="49"/>
      <c r="I84" s="49"/>
      <c r="J84" s="49"/>
    </row>
    <row r="85" spans="1:10" s="14" customFormat="1" ht="5.25" customHeight="1" outlineLevel="1" x14ac:dyDescent="0.25"/>
    <row r="86" spans="1:10" s="14" customFormat="1" outlineLevel="1" x14ac:dyDescent="0.25">
      <c r="B86" s="27" t="s">
        <v>74</v>
      </c>
    </row>
    <row r="87" spans="1:10" s="14" customFormat="1" outlineLevel="1" x14ac:dyDescent="0.25">
      <c r="B87" s="14" t="s">
        <v>75</v>
      </c>
      <c r="F87" s="18">
        <f>E89</f>
        <v>6031</v>
      </c>
      <c r="G87" s="18">
        <f t="shared" ref="G87:J87" ca="1" si="52">F89</f>
        <v>6527.7915999999996</v>
      </c>
      <c r="H87" s="18">
        <f t="shared" ca="1" si="52"/>
        <v>6690.9863899999991</v>
      </c>
      <c r="I87" s="18">
        <f t="shared" ca="1" si="52"/>
        <v>7025.535709499999</v>
      </c>
      <c r="J87" s="18">
        <f t="shared" ca="1" si="52"/>
        <v>7376.8124949749999</v>
      </c>
    </row>
    <row r="88" spans="1:10" s="14" customFormat="1" outlineLevel="1" x14ac:dyDescent="0.25">
      <c r="B88" s="14" t="s">
        <v>76</v>
      </c>
      <c r="F88" s="18">
        <f ca="1">F89-F87</f>
        <v>496.79159999999956</v>
      </c>
      <c r="G88" s="18">
        <f t="shared" ref="G88:J88" ca="1" si="53">G89-G87</f>
        <v>163.19478999999956</v>
      </c>
      <c r="H88" s="18">
        <f t="shared" ca="1" si="53"/>
        <v>334.54931949999991</v>
      </c>
      <c r="I88" s="18">
        <f t="shared" ca="1" si="53"/>
        <v>351.27678547500091</v>
      </c>
      <c r="J88" s="18">
        <f t="shared" ca="1" si="53"/>
        <v>368.840624748751</v>
      </c>
    </row>
    <row r="89" spans="1:10" s="14" customFormat="1" outlineLevel="1" x14ac:dyDescent="0.25">
      <c r="B89" s="19" t="s">
        <v>77</v>
      </c>
      <c r="C89" s="19"/>
      <c r="D89" s="20">
        <f>D53</f>
        <v>5113</v>
      </c>
      <c r="E89" s="20">
        <f>E53</f>
        <v>6031</v>
      </c>
      <c r="F89" s="20">
        <f ca="1">F91*F14</f>
        <v>6527.7915999999996</v>
      </c>
      <c r="G89" s="20">
        <f ca="1">G91*G14</f>
        <v>6690.9863899999991</v>
      </c>
      <c r="H89" s="20">
        <f ca="1">H91*H14</f>
        <v>7025.535709499999</v>
      </c>
      <c r="I89" s="20">
        <f ca="1">I91*I14</f>
        <v>7376.8124949749999</v>
      </c>
      <c r="J89" s="20">
        <f ca="1">J91*J14</f>
        <v>7745.6531197237509</v>
      </c>
    </row>
    <row r="90" spans="1:10" s="14" customFormat="1" ht="5.25" customHeight="1" outlineLevel="1" x14ac:dyDescent="0.25"/>
    <row r="91" spans="1:10" s="14" customFormat="1" outlineLevel="1" x14ac:dyDescent="0.25">
      <c r="B91" s="14" t="s">
        <v>78</v>
      </c>
      <c r="D91" s="29">
        <f>D89/D14</f>
        <v>8.7443562730879734E-2</v>
      </c>
      <c r="E91" s="29">
        <f>E89/E14</f>
        <v>0.1026448362720403</v>
      </c>
      <c r="F91" s="31">
        <v>0.11</v>
      </c>
      <c r="G91" s="31">
        <v>0.11</v>
      </c>
      <c r="H91" s="31">
        <v>0.11</v>
      </c>
      <c r="I91" s="31">
        <v>0.11</v>
      </c>
      <c r="J91" s="31">
        <v>0.11</v>
      </c>
    </row>
    <row r="92" spans="1:10" s="14" customFormat="1" outlineLevel="1" x14ac:dyDescent="0.25">
      <c r="B92" s="14" t="s">
        <v>79</v>
      </c>
      <c r="D92" s="51">
        <f>D91*365</f>
        <v>31.916900396771101</v>
      </c>
      <c r="E92" s="51">
        <f t="shared" ref="E92:J92" si="54">E91*365</f>
        <v>37.465365239294705</v>
      </c>
      <c r="F92" s="51">
        <f t="shared" si="54"/>
        <v>40.15</v>
      </c>
      <c r="G92" s="51">
        <f t="shared" si="54"/>
        <v>40.15</v>
      </c>
      <c r="H92" s="51">
        <f t="shared" si="54"/>
        <v>40.15</v>
      </c>
      <c r="I92" s="51">
        <f t="shared" si="54"/>
        <v>40.15</v>
      </c>
      <c r="J92" s="51">
        <f t="shared" si="54"/>
        <v>40.15</v>
      </c>
    </row>
    <row r="93" spans="1:10" s="14" customFormat="1" ht="5.25" customHeight="1" outlineLevel="1" x14ac:dyDescent="0.25"/>
    <row r="94" spans="1:10" s="14" customFormat="1" outlineLevel="1" x14ac:dyDescent="0.25">
      <c r="B94" s="27" t="s">
        <v>44</v>
      </c>
    </row>
    <row r="95" spans="1:10" s="14" customFormat="1" outlineLevel="1" x14ac:dyDescent="0.25">
      <c r="B95" s="14" t="s">
        <v>75</v>
      </c>
      <c r="F95" s="18">
        <f>E97</f>
        <v>5734</v>
      </c>
      <c r="G95" s="18">
        <f t="shared" ref="G95:J95" ca="1" si="55">F97</f>
        <v>5803.8001679999988</v>
      </c>
      <c r="H95" s="18">
        <f t="shared" ca="1" si="55"/>
        <v>5948.8951721999983</v>
      </c>
      <c r="I95" s="18">
        <f t="shared" ca="1" si="55"/>
        <v>6246.3399308099988</v>
      </c>
      <c r="J95" s="18">
        <f t="shared" ca="1" si="55"/>
        <v>6558.6569273505002</v>
      </c>
    </row>
    <row r="96" spans="1:10" s="14" customFormat="1" outlineLevel="1" x14ac:dyDescent="0.25">
      <c r="B96" s="14" t="s">
        <v>76</v>
      </c>
      <c r="F96" s="18">
        <f ca="1">F97-F95</f>
        <v>69.800167999998848</v>
      </c>
      <c r="G96" s="18">
        <f t="shared" ref="G96:J96" ca="1" si="56">G97-G95</f>
        <v>145.09500419999949</v>
      </c>
      <c r="H96" s="18">
        <f t="shared" ca="1" si="56"/>
        <v>297.44475861000046</v>
      </c>
      <c r="I96" s="18">
        <f t="shared" ca="1" si="56"/>
        <v>312.31699654050135</v>
      </c>
      <c r="J96" s="18">
        <f t="shared" ca="1" si="56"/>
        <v>327.93284636752469</v>
      </c>
    </row>
    <row r="97" spans="1:10" s="14" customFormat="1" outlineLevel="1" x14ac:dyDescent="0.25">
      <c r="B97" s="19" t="s">
        <v>77</v>
      </c>
      <c r="C97" s="19"/>
      <c r="D97" s="20">
        <f>D54</f>
        <v>6062</v>
      </c>
      <c r="E97" s="20">
        <f>E54</f>
        <v>5734</v>
      </c>
      <c r="F97" s="20">
        <f ca="1">-(F99*F15)</f>
        <v>5803.8001679999988</v>
      </c>
      <c r="G97" s="20">
        <f ca="1">-(G99*G15)</f>
        <v>5948.8951721999983</v>
      </c>
      <c r="H97" s="20">
        <f ca="1">-(H99*H15)</f>
        <v>6246.3399308099988</v>
      </c>
      <c r="I97" s="20">
        <f ca="1">-(I99*I15)</f>
        <v>6558.6569273505002</v>
      </c>
      <c r="J97" s="20">
        <f ca="1">-(J99*J15)</f>
        <v>6886.5897737180248</v>
      </c>
    </row>
    <row r="98" spans="1:10" s="14" customFormat="1" ht="5.25" customHeight="1" outlineLevel="1" x14ac:dyDescent="0.25"/>
    <row r="99" spans="1:10" s="14" customFormat="1" outlineLevel="1" x14ac:dyDescent="0.25">
      <c r="B99" s="14" t="s">
        <v>80</v>
      </c>
      <c r="D99" s="29">
        <f>-(D97/D15)</f>
        <v>0.12681212476204423</v>
      </c>
      <c r="E99" s="29">
        <f>-(E97/E15)</f>
        <v>0.12049762535199428</v>
      </c>
      <c r="F99" s="31">
        <v>0.12</v>
      </c>
      <c r="G99" s="31">
        <v>0.12</v>
      </c>
      <c r="H99" s="31">
        <v>0.12</v>
      </c>
      <c r="I99" s="31">
        <v>0.12</v>
      </c>
      <c r="J99" s="31">
        <v>0.12</v>
      </c>
    </row>
    <row r="100" spans="1:10" s="14" customFormat="1" ht="15" customHeight="1" outlineLevel="1" x14ac:dyDescent="0.25">
      <c r="B100" s="14" t="s">
        <v>81</v>
      </c>
      <c r="D100" s="39">
        <f>-(D15/D97)</f>
        <v>7.8856812933025404</v>
      </c>
      <c r="E100" s="39">
        <f t="shared" ref="E100:J100" si="57">-(E15/E97)</f>
        <v>8.2989187303801888</v>
      </c>
      <c r="F100" s="39">
        <f t="shared" ca="1" si="57"/>
        <v>8.3333333333333339</v>
      </c>
      <c r="G100" s="39">
        <f t="shared" ca="1" si="57"/>
        <v>8.3333333333333339</v>
      </c>
      <c r="H100" s="39">
        <f t="shared" ca="1" si="57"/>
        <v>8.3333333333333339</v>
      </c>
      <c r="I100" s="39">
        <f t="shared" ca="1" si="57"/>
        <v>8.3333333333333339</v>
      </c>
      <c r="J100" s="39">
        <f t="shared" ca="1" si="57"/>
        <v>8.3333333333333339</v>
      </c>
    </row>
    <row r="101" spans="1:10" s="14" customFormat="1" ht="5.25" customHeight="1" outlineLevel="1" x14ac:dyDescent="0.25"/>
    <row r="102" spans="1:10" s="14" customFormat="1" outlineLevel="1" x14ac:dyDescent="0.25">
      <c r="B102" s="27" t="s">
        <v>82</v>
      </c>
    </row>
    <row r="103" spans="1:10" s="14" customFormat="1" outlineLevel="1" x14ac:dyDescent="0.25">
      <c r="B103" s="14" t="s">
        <v>75</v>
      </c>
      <c r="F103" s="18">
        <f>E105</f>
        <v>15150</v>
      </c>
      <c r="G103" s="18">
        <f t="shared" ref="G103:J103" ca="1" si="58">F105</f>
        <v>15476.800447999998</v>
      </c>
      <c r="H103" s="18">
        <f t="shared" ca="1" si="58"/>
        <v>15863.720459199998</v>
      </c>
      <c r="I103" s="18">
        <f t="shared" ca="1" si="58"/>
        <v>16656.906482159997</v>
      </c>
      <c r="J103" s="18">
        <f t="shared" ca="1" si="58"/>
        <v>17489.751806267999</v>
      </c>
    </row>
    <row r="104" spans="1:10" s="14" customFormat="1" outlineLevel="1" x14ac:dyDescent="0.25">
      <c r="B104" s="14" t="s">
        <v>76</v>
      </c>
      <c r="F104" s="18">
        <f ca="1">F105-F103</f>
        <v>326.80044799999814</v>
      </c>
      <c r="G104" s="18">
        <f t="shared" ref="G104:J104" ca="1" si="59">G105-G103</f>
        <v>386.92001119999986</v>
      </c>
      <c r="H104" s="18">
        <f t="shared" ca="1" si="59"/>
        <v>793.18602295999881</v>
      </c>
      <c r="I104" s="18">
        <f t="shared" ca="1" si="59"/>
        <v>832.84532410800239</v>
      </c>
      <c r="J104" s="18">
        <f t="shared" ca="1" si="59"/>
        <v>874.4875903134016</v>
      </c>
    </row>
    <row r="105" spans="1:10" s="14" customFormat="1" outlineLevel="1" x14ac:dyDescent="0.25">
      <c r="B105" s="19" t="s">
        <v>77</v>
      </c>
      <c r="C105" s="19"/>
      <c r="D105" s="20">
        <f>D62</f>
        <v>16279</v>
      </c>
      <c r="E105" s="20">
        <f>E62</f>
        <v>15150</v>
      </c>
      <c r="F105" s="20">
        <f ca="1">-(F107*F15)</f>
        <v>15476.800447999998</v>
      </c>
      <c r="G105" s="20">
        <f ca="1">-(G107*G15)</f>
        <v>15863.720459199998</v>
      </c>
      <c r="H105" s="20">
        <f ca="1">-(H107*H15)</f>
        <v>16656.906482159997</v>
      </c>
      <c r="I105" s="20">
        <f ca="1">-(I107*I15)</f>
        <v>17489.751806267999</v>
      </c>
      <c r="J105" s="20">
        <f ca="1">-(J107*J15)</f>
        <v>18364.239396581401</v>
      </c>
    </row>
    <row r="106" spans="1:10" s="14" customFormat="1" ht="5.25" customHeight="1" outlineLevel="1" x14ac:dyDescent="0.25"/>
    <row r="107" spans="1:10" s="14" customFormat="1" outlineLevel="1" x14ac:dyDescent="0.25">
      <c r="B107" s="14" t="s">
        <v>146</v>
      </c>
      <c r="D107" s="29">
        <f>-(D62/D15)</f>
        <v>0.34054348053469446</v>
      </c>
      <c r="E107" s="29">
        <f>-(E62/E15)</f>
        <v>0.31837094943891059</v>
      </c>
      <c r="F107" s="31">
        <v>0.32</v>
      </c>
      <c r="G107" s="31">
        <v>0.32</v>
      </c>
      <c r="H107" s="31">
        <v>0.32</v>
      </c>
      <c r="I107" s="31">
        <v>0.32</v>
      </c>
      <c r="J107" s="31">
        <v>0.32</v>
      </c>
    </row>
    <row r="108" spans="1:10" s="14" customFormat="1" outlineLevel="1" x14ac:dyDescent="0.25">
      <c r="B108" s="14" t="s">
        <v>84</v>
      </c>
      <c r="D108" s="51">
        <f>D107*365</f>
        <v>124.29837039516347</v>
      </c>
      <c r="E108" s="51">
        <f>E107*365</f>
        <v>116.20539654520236</v>
      </c>
      <c r="F108" s="51">
        <f t="shared" ref="F108:J108" si="60">F107*365</f>
        <v>116.8</v>
      </c>
      <c r="G108" s="51">
        <f t="shared" si="60"/>
        <v>116.8</v>
      </c>
      <c r="H108" s="51">
        <f t="shared" si="60"/>
        <v>116.8</v>
      </c>
      <c r="I108" s="51">
        <f t="shared" si="60"/>
        <v>116.8</v>
      </c>
      <c r="J108" s="51">
        <f t="shared" si="60"/>
        <v>116.8</v>
      </c>
    </row>
    <row r="109" spans="1:10" ht="5.25" customHeight="1" x14ac:dyDescent="0.25"/>
    <row r="110" spans="1:10" s="14" customFormat="1" ht="23.25" x14ac:dyDescent="0.35">
      <c r="A110" s="49"/>
      <c r="B110" s="50" t="s">
        <v>85</v>
      </c>
      <c r="C110" s="49"/>
      <c r="D110" s="49"/>
      <c r="E110" s="49"/>
      <c r="F110" s="49"/>
      <c r="G110" s="49"/>
      <c r="H110" s="49"/>
      <c r="I110" s="49"/>
      <c r="J110" s="49"/>
    </row>
    <row r="111" spans="1:10" s="14" customFormat="1" ht="5.25" customHeight="1" outlineLevel="1" x14ac:dyDescent="0.25"/>
    <row r="112" spans="1:10" s="14" customFormat="1" ht="15.75" outlineLevel="1" x14ac:dyDescent="0.25">
      <c r="B112" s="33" t="s">
        <v>75</v>
      </c>
      <c r="F112" s="21">
        <f>E115</f>
        <v>2794</v>
      </c>
      <c r="G112" s="21">
        <f ca="1">F115</f>
        <v>2868.1794500000001</v>
      </c>
      <c r="H112" s="21">
        <f ca="1">G115</f>
        <v>3050.6608969999997</v>
      </c>
      <c r="I112" s="21">
        <f ca="1">H115</f>
        <v>3242.2664163499999</v>
      </c>
      <c r="J112" s="21">
        <f ca="1">I115</f>
        <v>3388.9643921023439</v>
      </c>
    </row>
    <row r="113" spans="1:10" s="14" customFormat="1" ht="15.75" outlineLevel="1" x14ac:dyDescent="0.25">
      <c r="B113" s="33" t="s">
        <v>86</v>
      </c>
      <c r="F113" s="21">
        <f ca="1">F117</f>
        <v>741.79449999999997</v>
      </c>
      <c r="G113" s="21">
        <f t="shared" ref="G113:J113" ca="1" si="61">G117</f>
        <v>1216.5429799999999</v>
      </c>
      <c r="H113" s="21">
        <f t="shared" ca="1" si="61"/>
        <v>1277.3701289999999</v>
      </c>
      <c r="I113" s="21">
        <f t="shared" ca="1" si="61"/>
        <v>1173.58380601875</v>
      </c>
      <c r="J113" s="21">
        <f t="shared" ca="1" si="61"/>
        <v>1232.2629963196878</v>
      </c>
    </row>
    <row r="114" spans="1:10" s="14" customFormat="1" ht="15.75" outlineLevel="1" x14ac:dyDescent="0.25">
      <c r="B114" s="33" t="s">
        <v>87</v>
      </c>
      <c r="F114" s="21">
        <f ca="1">F119</f>
        <v>-667.61505</v>
      </c>
      <c r="G114" s="21">
        <f t="shared" ref="G114:J114" ca="1" si="62">G119</f>
        <v>-1034.0615329999998</v>
      </c>
      <c r="H114" s="21">
        <f t="shared" ca="1" si="62"/>
        <v>-1085.7646096499998</v>
      </c>
      <c r="I114" s="21">
        <f t="shared" ca="1" si="62"/>
        <v>-1026.8858302664062</v>
      </c>
      <c r="J114" s="21">
        <f t="shared" ca="1" si="62"/>
        <v>-1139.8432715957113</v>
      </c>
    </row>
    <row r="115" spans="1:10" s="14" customFormat="1" ht="15.75" outlineLevel="1" x14ac:dyDescent="0.25">
      <c r="B115" s="52" t="s">
        <v>77</v>
      </c>
      <c r="C115" s="19"/>
      <c r="D115" s="53">
        <f>D55</f>
        <v>2198</v>
      </c>
      <c r="E115" s="53">
        <f>E55</f>
        <v>2794</v>
      </c>
      <c r="F115" s="53">
        <f ca="1">SUM(F112:F114)</f>
        <v>2868.1794500000001</v>
      </c>
      <c r="G115" s="53">
        <f ca="1">SUM(G112:G114)</f>
        <v>3050.6608969999997</v>
      </c>
      <c r="H115" s="53">
        <f ca="1">SUM(H112:H114)</f>
        <v>3242.2664163499999</v>
      </c>
      <c r="I115" s="53">
        <f ca="1">SUM(I112:I114)</f>
        <v>3388.9643921023439</v>
      </c>
      <c r="J115" s="53">
        <f ca="1">SUM(J112:J114)</f>
        <v>3481.3841168263207</v>
      </c>
    </row>
    <row r="116" spans="1:10" s="14" customFormat="1" ht="5.25" customHeight="1" outlineLevel="1" x14ac:dyDescent="0.25">
      <c r="B116" s="33"/>
    </row>
    <row r="117" spans="1:10" s="14" customFormat="1" ht="15.75" outlineLevel="1" x14ac:dyDescent="0.25">
      <c r="B117" s="33" t="s">
        <v>88</v>
      </c>
      <c r="D117" s="22">
        <v>374</v>
      </c>
      <c r="E117" s="22">
        <v>671</v>
      </c>
      <c r="F117" s="21">
        <f ca="1">F118*F14</f>
        <v>741.79449999999997</v>
      </c>
      <c r="G117" s="21">
        <f t="shared" ref="G117:J117" ca="1" si="63">G118*G14</f>
        <v>1216.5429799999999</v>
      </c>
      <c r="H117" s="21">
        <f t="shared" ca="1" si="63"/>
        <v>1277.3701289999999</v>
      </c>
      <c r="I117" s="21">
        <f t="shared" ca="1" si="63"/>
        <v>1173.58380601875</v>
      </c>
      <c r="J117" s="21">
        <f t="shared" ca="1" si="63"/>
        <v>1232.2629963196878</v>
      </c>
    </row>
    <row r="118" spans="1:10" s="14" customFormat="1" ht="15.75" customHeight="1" outlineLevel="1" x14ac:dyDescent="0.25">
      <c r="B118" s="33" t="s">
        <v>89</v>
      </c>
      <c r="D118" s="32">
        <f>D117/D14</f>
        <v>6.3962238336297715E-3</v>
      </c>
      <c r="E118" s="28">
        <f>E117/E14</f>
        <v>1.1420110286609027E-2</v>
      </c>
      <c r="F118" s="31">
        <v>1.2500000000000001E-2</v>
      </c>
      <c r="G118" s="31">
        <v>0.02</v>
      </c>
      <c r="H118" s="31">
        <v>0.02</v>
      </c>
      <c r="I118" s="31">
        <v>1.7500000000000002E-2</v>
      </c>
      <c r="J118" s="31">
        <v>1.7500000000000002E-2</v>
      </c>
    </row>
    <row r="119" spans="1:10" s="14" customFormat="1" ht="15.75" outlineLevel="1" x14ac:dyDescent="0.25">
      <c r="B119" s="33" t="s">
        <v>90</v>
      </c>
      <c r="D119" s="22">
        <v>-448</v>
      </c>
      <c r="E119" s="22">
        <v>-623</v>
      </c>
      <c r="F119" s="21">
        <f ca="1">-(F120*F117)</f>
        <v>-667.61505</v>
      </c>
      <c r="G119" s="21">
        <f ca="1">-(G120*G117)</f>
        <v>-1034.0615329999998</v>
      </c>
      <c r="H119" s="21">
        <f ca="1">-(H120*H117)</f>
        <v>-1085.7646096499998</v>
      </c>
      <c r="I119" s="21">
        <f ca="1">-(I120*I117)</f>
        <v>-1026.8858302664062</v>
      </c>
      <c r="J119" s="21">
        <f ca="1">-(J120*J117)</f>
        <v>-1139.8432715957113</v>
      </c>
    </row>
    <row r="120" spans="1:10" s="14" customFormat="1" ht="15.75" outlineLevel="1" x14ac:dyDescent="0.25">
      <c r="B120" s="33" t="s">
        <v>91</v>
      </c>
      <c r="D120" s="28">
        <f>-(D119/D117)</f>
        <v>1.1978609625668448</v>
      </c>
      <c r="E120" s="28">
        <f>-(E119/E117)</f>
        <v>0.92846497764530556</v>
      </c>
      <c r="F120" s="31">
        <v>0.9</v>
      </c>
      <c r="G120" s="31">
        <v>0.85</v>
      </c>
      <c r="H120" s="31">
        <v>0.85</v>
      </c>
      <c r="I120" s="31">
        <v>0.875</v>
      </c>
      <c r="J120" s="31">
        <v>0.92500000000000004</v>
      </c>
    </row>
    <row r="122" spans="1:10" s="14" customFormat="1" ht="23.25" x14ac:dyDescent="0.35">
      <c r="A122" s="49"/>
      <c r="B122" s="50" t="s">
        <v>69</v>
      </c>
      <c r="C122" s="49"/>
      <c r="D122" s="49"/>
      <c r="E122" s="49"/>
      <c r="F122" s="49"/>
      <c r="G122" s="49"/>
      <c r="H122" s="49"/>
      <c r="I122" s="49"/>
      <c r="J122" s="49"/>
    </row>
    <row r="123" spans="1:10" ht="5.25" customHeight="1" x14ac:dyDescent="0.25"/>
    <row r="124" spans="1:10" x14ac:dyDescent="0.25">
      <c r="B124" s="54" t="s">
        <v>75</v>
      </c>
      <c r="F124" s="59">
        <f>E127</f>
        <v>6372</v>
      </c>
      <c r="G124" s="59">
        <f t="shared" ref="G124:J124" si="64">F127</f>
        <v>6258</v>
      </c>
      <c r="H124" s="59">
        <f t="shared" si="64"/>
        <v>6142</v>
      </c>
      <c r="I124" s="59">
        <f t="shared" si="64"/>
        <v>6026</v>
      </c>
      <c r="J124" s="59">
        <f t="shared" si="64"/>
        <v>5912</v>
      </c>
    </row>
    <row r="125" spans="1:10" x14ac:dyDescent="0.25">
      <c r="B125" s="55" t="s">
        <v>92</v>
      </c>
      <c r="F125" s="59">
        <f>F129</f>
        <v>0</v>
      </c>
      <c r="G125" s="59">
        <f t="shared" ref="G125:J125" si="65">G129</f>
        <v>0</v>
      </c>
      <c r="H125" s="59">
        <f t="shared" si="65"/>
        <v>0</v>
      </c>
      <c r="I125" s="59">
        <f t="shared" si="65"/>
        <v>0</v>
      </c>
      <c r="J125" s="59">
        <f t="shared" si="65"/>
        <v>0</v>
      </c>
    </row>
    <row r="126" spans="1:10" x14ac:dyDescent="0.25">
      <c r="B126" s="55" t="s">
        <v>93</v>
      </c>
      <c r="F126" s="59">
        <f>F130</f>
        <v>-114</v>
      </c>
      <c r="G126" s="59">
        <f t="shared" ref="G126:J126" si="66">G130</f>
        <v>-116</v>
      </c>
      <c r="H126" s="59">
        <f t="shared" si="66"/>
        <v>-116</v>
      </c>
      <c r="I126" s="59">
        <f t="shared" si="66"/>
        <v>-114</v>
      </c>
      <c r="J126" s="59">
        <f t="shared" si="66"/>
        <v>-80</v>
      </c>
    </row>
    <row r="127" spans="1:10" x14ac:dyDescent="0.25">
      <c r="B127" s="57" t="s">
        <v>77</v>
      </c>
      <c r="C127" s="58"/>
      <c r="D127" s="60">
        <f>D56</f>
        <v>5968</v>
      </c>
      <c r="E127" s="60">
        <f>E56</f>
        <v>6372</v>
      </c>
      <c r="F127" s="60">
        <f>SUM(F124:F126)</f>
        <v>6258</v>
      </c>
      <c r="G127" s="60">
        <f t="shared" ref="G127:J127" si="67">SUM(G124:G126)</f>
        <v>6142</v>
      </c>
      <c r="H127" s="60">
        <f t="shared" si="67"/>
        <v>6026</v>
      </c>
      <c r="I127" s="60">
        <f t="shared" si="67"/>
        <v>5912</v>
      </c>
      <c r="J127" s="60">
        <f t="shared" si="67"/>
        <v>5832</v>
      </c>
    </row>
    <row r="128" spans="1:10" ht="5.25" customHeight="1" x14ac:dyDescent="0.25">
      <c r="B128" s="14"/>
    </row>
    <row r="129" spans="1:10" x14ac:dyDescent="0.25">
      <c r="B129" s="54" t="s">
        <v>94</v>
      </c>
      <c r="D129" s="22">
        <v>453</v>
      </c>
      <c r="E129" s="22">
        <v>661</v>
      </c>
      <c r="F129" s="22">
        <v>0</v>
      </c>
      <c r="G129" s="22">
        <v>0</v>
      </c>
      <c r="H129" s="22">
        <v>0</v>
      </c>
      <c r="I129" s="22">
        <v>0</v>
      </c>
      <c r="J129" s="22">
        <v>0</v>
      </c>
    </row>
    <row r="130" spans="1:10" x14ac:dyDescent="0.25">
      <c r="B130" s="54" t="s">
        <v>95</v>
      </c>
      <c r="D130" s="22">
        <v>-260</v>
      </c>
      <c r="E130" s="22">
        <v>-376</v>
      </c>
      <c r="F130" s="22">
        <v>-114</v>
      </c>
      <c r="G130" s="22">
        <v>-116</v>
      </c>
      <c r="H130" s="22">
        <v>-116</v>
      </c>
      <c r="I130" s="22">
        <v>-114</v>
      </c>
      <c r="J130" s="22">
        <v>-80</v>
      </c>
    </row>
    <row r="131" spans="1:10" ht="5.25" customHeight="1" x14ac:dyDescent="0.25"/>
    <row r="132" spans="1:10" s="14" customFormat="1" ht="23.25" x14ac:dyDescent="0.35">
      <c r="A132" s="49"/>
      <c r="B132" s="50" t="s">
        <v>96</v>
      </c>
      <c r="C132" s="49"/>
      <c r="D132" s="49"/>
      <c r="E132" s="49"/>
      <c r="F132" s="49"/>
      <c r="G132" s="49"/>
      <c r="H132" s="49"/>
      <c r="I132" s="49"/>
      <c r="J132" s="49"/>
    </row>
    <row r="133" spans="1:10" ht="5.25" customHeight="1" x14ac:dyDescent="0.25"/>
    <row r="134" spans="1:10" x14ac:dyDescent="0.25">
      <c r="B134" s="56" t="s">
        <v>67</v>
      </c>
    </row>
    <row r="135" spans="1:10" x14ac:dyDescent="0.25">
      <c r="B135" s="1" t="s">
        <v>75</v>
      </c>
      <c r="F135" s="59">
        <f>E137</f>
        <v>7999</v>
      </c>
      <c r="G135" s="59">
        <f t="shared" ref="G135:J135" si="68">F137</f>
        <v>7999</v>
      </c>
      <c r="H135" s="59">
        <f t="shared" si="68"/>
        <v>7999</v>
      </c>
      <c r="I135" s="59">
        <f t="shared" si="68"/>
        <v>7999</v>
      </c>
      <c r="J135" s="59">
        <f t="shared" si="68"/>
        <v>7999</v>
      </c>
    </row>
    <row r="136" spans="1:10" x14ac:dyDescent="0.25">
      <c r="B136" s="1" t="s">
        <v>76</v>
      </c>
      <c r="F136" s="59">
        <v>0</v>
      </c>
      <c r="G136" s="59">
        <v>0</v>
      </c>
      <c r="H136" s="59">
        <v>0</v>
      </c>
      <c r="I136" s="59">
        <v>0</v>
      </c>
      <c r="J136" s="59">
        <v>0</v>
      </c>
    </row>
    <row r="137" spans="1:10" x14ac:dyDescent="0.25">
      <c r="B137" s="58" t="s">
        <v>77</v>
      </c>
      <c r="C137" s="58"/>
      <c r="D137" s="60">
        <f>D58</f>
        <v>10115</v>
      </c>
      <c r="E137" s="60">
        <f>E58</f>
        <v>7999</v>
      </c>
      <c r="F137" s="60">
        <f>SUM(F135:F136)</f>
        <v>7999</v>
      </c>
      <c r="G137" s="60">
        <f t="shared" ref="G137:J137" si="69">SUM(G135:G136)</f>
        <v>7999</v>
      </c>
      <c r="H137" s="60">
        <f t="shared" si="69"/>
        <v>7999</v>
      </c>
      <c r="I137" s="60">
        <f t="shared" si="69"/>
        <v>7999</v>
      </c>
      <c r="J137" s="60">
        <f t="shared" si="69"/>
        <v>7999</v>
      </c>
    </row>
    <row r="138" spans="1:10" ht="5.25" customHeight="1" x14ac:dyDescent="0.25"/>
    <row r="139" spans="1:10" x14ac:dyDescent="0.25">
      <c r="B139" s="56" t="s">
        <v>97</v>
      </c>
    </row>
    <row r="140" spans="1:10" x14ac:dyDescent="0.25">
      <c r="B140" s="1" t="s">
        <v>75</v>
      </c>
      <c r="F140" s="59">
        <f>E142</f>
        <v>14730</v>
      </c>
      <c r="G140" s="59">
        <f t="shared" ref="G140:J140" si="70">F142</f>
        <v>14955</v>
      </c>
      <c r="H140" s="59">
        <f t="shared" si="70"/>
        <v>15180</v>
      </c>
      <c r="I140" s="59">
        <f t="shared" si="70"/>
        <v>15405</v>
      </c>
      <c r="J140" s="59">
        <f t="shared" si="70"/>
        <v>15630</v>
      </c>
    </row>
    <row r="141" spans="1:10" x14ac:dyDescent="0.25">
      <c r="B141" s="1" t="s">
        <v>76</v>
      </c>
      <c r="F141" s="22">
        <v>225</v>
      </c>
      <c r="G141" s="22">
        <v>225</v>
      </c>
      <c r="H141" s="22">
        <v>225</v>
      </c>
      <c r="I141" s="22">
        <v>225</v>
      </c>
      <c r="J141" s="22">
        <v>225</v>
      </c>
    </row>
    <row r="142" spans="1:10" x14ac:dyDescent="0.25">
      <c r="B142" s="58" t="s">
        <v>77</v>
      </c>
      <c r="C142" s="58"/>
      <c r="D142" s="60">
        <f>D65</f>
        <v>14458</v>
      </c>
      <c r="E142" s="60">
        <f>E65</f>
        <v>14730</v>
      </c>
      <c r="F142" s="60">
        <f>SUM(F140:F141)</f>
        <v>14955</v>
      </c>
      <c r="G142" s="60">
        <f t="shared" ref="G142:J142" si="71">SUM(G140:G141)</f>
        <v>15180</v>
      </c>
      <c r="H142" s="60">
        <f t="shared" si="71"/>
        <v>15405</v>
      </c>
      <c r="I142" s="60">
        <f t="shared" si="71"/>
        <v>15630</v>
      </c>
      <c r="J142" s="60">
        <f t="shared" si="71"/>
        <v>15855</v>
      </c>
    </row>
    <row r="143" spans="1:10" ht="5.25" customHeight="1" x14ac:dyDescent="0.25"/>
    <row r="144" spans="1:10" s="14" customFormat="1" ht="23.25" x14ac:dyDescent="0.35">
      <c r="A144" s="49"/>
      <c r="B144" s="50" t="s">
        <v>98</v>
      </c>
      <c r="C144" s="49"/>
      <c r="D144" s="49"/>
      <c r="E144" s="49"/>
      <c r="F144" s="49"/>
      <c r="G144" s="49"/>
      <c r="H144" s="49"/>
      <c r="I144" s="49"/>
      <c r="J144" s="49"/>
    </row>
    <row r="145" spans="1:11" s="14" customFormat="1" ht="5.25" customHeight="1" outlineLevel="1" x14ac:dyDescent="0.25"/>
    <row r="146" spans="1:11" s="14" customFormat="1" ht="15.75" outlineLevel="1" x14ac:dyDescent="0.25">
      <c r="B146" s="37" t="s">
        <v>49</v>
      </c>
    </row>
    <row r="147" spans="1:11" s="14" customFormat="1" ht="15.75" outlineLevel="1" x14ac:dyDescent="0.25">
      <c r="B147" s="33" t="s">
        <v>75</v>
      </c>
      <c r="F147" s="18">
        <f>E150</f>
        <v>4780</v>
      </c>
      <c r="G147" s="18">
        <f>F150</f>
        <v>4780</v>
      </c>
      <c r="H147" s="18">
        <f>G150</f>
        <v>4831.8999999999996</v>
      </c>
      <c r="I147" s="18">
        <f>H150</f>
        <v>4850.3499999999995</v>
      </c>
      <c r="J147" s="18">
        <f>I150</f>
        <v>4864.7499999999991</v>
      </c>
    </row>
    <row r="148" spans="1:11" s="14" customFormat="1" ht="15.75" outlineLevel="1" x14ac:dyDescent="0.25">
      <c r="B148" s="33" t="s">
        <v>99</v>
      </c>
      <c r="F148" s="22">
        <v>0</v>
      </c>
      <c r="G148" s="22">
        <v>0</v>
      </c>
      <c r="H148" s="22">
        <v>0</v>
      </c>
      <c r="I148" s="22">
        <v>0</v>
      </c>
      <c r="J148" s="22">
        <v>0</v>
      </c>
    </row>
    <row r="149" spans="1:11" s="14" customFormat="1" ht="15.75" outlineLevel="1" x14ac:dyDescent="0.25">
      <c r="B149" s="33" t="s">
        <v>100</v>
      </c>
      <c r="F149" s="18">
        <f>F152*F156</f>
        <v>0</v>
      </c>
      <c r="G149" s="18">
        <f t="shared" ref="G149:J149" si="72">G152*G156</f>
        <v>51.899999999999991</v>
      </c>
      <c r="H149" s="18">
        <f t="shared" si="72"/>
        <v>18.449999999999996</v>
      </c>
      <c r="I149" s="18">
        <f t="shared" si="72"/>
        <v>14.399999999999997</v>
      </c>
      <c r="J149" s="18">
        <f t="shared" si="72"/>
        <v>14.399999999999997</v>
      </c>
    </row>
    <row r="150" spans="1:11" s="14" customFormat="1" ht="15.75" outlineLevel="1" x14ac:dyDescent="0.25">
      <c r="B150" s="52" t="s">
        <v>77</v>
      </c>
      <c r="C150" s="19"/>
      <c r="D150" s="20">
        <f>D64</f>
        <v>4524</v>
      </c>
      <c r="E150" s="20">
        <f>E64</f>
        <v>4780</v>
      </c>
      <c r="F150" s="20">
        <f>SUM(F147:F149)</f>
        <v>4780</v>
      </c>
      <c r="G150" s="20">
        <f>SUM(G147:G149)</f>
        <v>4831.8999999999996</v>
      </c>
      <c r="H150" s="20">
        <f>SUM(H147:H149)</f>
        <v>4850.3499999999995</v>
      </c>
      <c r="I150" s="20">
        <f>SUM(I147:I149)</f>
        <v>4864.7499999999991</v>
      </c>
      <c r="J150" s="20">
        <f>SUM(J147:J149)</f>
        <v>4879.1499999999987</v>
      </c>
    </row>
    <row r="151" spans="1:11" s="14" customFormat="1" ht="5.25" customHeight="1" outlineLevel="1" x14ac:dyDescent="0.25">
      <c r="B151" s="33"/>
    </row>
    <row r="152" spans="1:11" s="14" customFormat="1" ht="15.75" outlineLevel="1" x14ac:dyDescent="0.25">
      <c r="B152" s="33" t="s">
        <v>101</v>
      </c>
      <c r="F152" s="18">
        <f>1350*0.0375+1250*0.043+1000*0.04375+1500*0.0465+500*0.0405+1200*0.06</f>
        <v>310.125</v>
      </c>
      <c r="G152" s="18">
        <f>1250*0.043+1000*0.04375+1500*0.0465+500*0.0405+1200*0.06</f>
        <v>259.5</v>
      </c>
      <c r="H152" s="18">
        <f>500*0.0405+1200*0.06</f>
        <v>92.25</v>
      </c>
      <c r="I152" s="18">
        <f>1200*0.06</f>
        <v>72</v>
      </c>
      <c r="J152" s="18">
        <f>1200*0.06</f>
        <v>72</v>
      </c>
    </row>
    <row r="153" spans="1:11" s="14" customFormat="1" ht="15.75" customHeight="1" outlineLevel="1" x14ac:dyDescent="0.25">
      <c r="B153" s="33" t="s">
        <v>102</v>
      </c>
      <c r="E153" s="28"/>
      <c r="F153" s="62">
        <f>F152/AVERAGE(E150:F150)</f>
        <v>6.4879707112970711E-2</v>
      </c>
      <c r="G153" s="62">
        <f t="shared" ref="G153:J153" si="73">G152/AVERAGE(F150:G150)</f>
        <v>5.3995567993840969E-2</v>
      </c>
      <c r="H153" s="62">
        <f t="shared" si="73"/>
        <v>1.9055488135505692E-2</v>
      </c>
      <c r="I153" s="62">
        <f t="shared" si="73"/>
        <v>1.4822286955358156E-2</v>
      </c>
      <c r="J153" s="62">
        <f t="shared" si="73"/>
        <v>1.477847679060746E-2</v>
      </c>
      <c r="K153" s="182"/>
    </row>
    <row r="154" spans="1:11" s="14" customFormat="1" ht="5.25" customHeight="1" outlineLevel="1" x14ac:dyDescent="0.25">
      <c r="B154" s="33"/>
    </row>
    <row r="155" spans="1:11" s="14" customFormat="1" ht="15.75" outlineLevel="1" x14ac:dyDescent="0.25">
      <c r="B155" s="33" t="s">
        <v>103</v>
      </c>
      <c r="F155" s="31">
        <v>1</v>
      </c>
      <c r="G155" s="31">
        <v>0.8</v>
      </c>
      <c r="H155" s="31">
        <v>0.8</v>
      </c>
      <c r="I155" s="31">
        <v>0.8</v>
      </c>
      <c r="J155" s="31">
        <v>0.8</v>
      </c>
    </row>
    <row r="156" spans="1:11" s="14" customFormat="1" ht="15.75" outlineLevel="1" x14ac:dyDescent="0.25">
      <c r="B156" s="33" t="s">
        <v>104</v>
      </c>
      <c r="F156" s="29">
        <f>1-F155</f>
        <v>0</v>
      </c>
      <c r="G156" s="29">
        <f t="shared" ref="G156:J156" si="74">1-G155</f>
        <v>0.19999999999999996</v>
      </c>
      <c r="H156" s="29">
        <f t="shared" si="74"/>
        <v>0.19999999999999996</v>
      </c>
      <c r="I156" s="29">
        <f t="shared" si="74"/>
        <v>0.19999999999999996</v>
      </c>
      <c r="J156" s="29">
        <f t="shared" si="74"/>
        <v>0.19999999999999996</v>
      </c>
    </row>
    <row r="157" spans="1:11" ht="5.25" customHeight="1" x14ac:dyDescent="0.25"/>
    <row r="158" spans="1:11" s="14" customFormat="1" ht="23.25" x14ac:dyDescent="0.35">
      <c r="A158" s="49"/>
      <c r="B158" s="50" t="s">
        <v>105</v>
      </c>
      <c r="C158" s="49"/>
      <c r="D158" s="49"/>
      <c r="E158" s="49"/>
      <c r="F158" s="49"/>
      <c r="G158" s="49"/>
      <c r="H158" s="49"/>
      <c r="I158" s="49"/>
      <c r="J158" s="49"/>
    </row>
    <row r="159" spans="1:11" s="14" customFormat="1" ht="5.25" customHeight="1" outlineLevel="1" x14ac:dyDescent="0.25"/>
    <row r="160" spans="1:11" s="14" customFormat="1" outlineLevel="1" x14ac:dyDescent="0.25">
      <c r="B160" s="27" t="s">
        <v>113</v>
      </c>
    </row>
    <row r="161" spans="2:10" s="14" customFormat="1" outlineLevel="1" x14ac:dyDescent="0.25">
      <c r="B161" s="41" t="s">
        <v>75</v>
      </c>
      <c r="F161" s="18">
        <f>E164</f>
        <v>850</v>
      </c>
      <c r="G161" s="18">
        <f t="shared" ref="G161:J161" ca="1" si="75">F164</f>
        <v>1099.6880286999999</v>
      </c>
      <c r="H161" s="18">
        <f t="shared" ca="1" si="75"/>
        <v>1355.6182581174999</v>
      </c>
      <c r="I161" s="18">
        <f t="shared" ca="1" si="75"/>
        <v>1624.3449990058748</v>
      </c>
      <c r="J161" s="18">
        <f t="shared" ca="1" si="75"/>
        <v>1906.5080769386686</v>
      </c>
    </row>
    <row r="162" spans="2:10" s="14" customFormat="1" outlineLevel="1" x14ac:dyDescent="0.25">
      <c r="B162" s="41" t="s">
        <v>106</v>
      </c>
      <c r="F162" s="18">
        <f>F166</f>
        <v>0</v>
      </c>
      <c r="G162" s="18">
        <f t="shared" ref="G162:J162" si="76">G166</f>
        <v>0</v>
      </c>
      <c r="H162" s="18">
        <f t="shared" si="76"/>
        <v>0</v>
      </c>
      <c r="I162" s="18">
        <f t="shared" si="76"/>
        <v>0</v>
      </c>
      <c r="J162" s="18">
        <f t="shared" si="76"/>
        <v>0</v>
      </c>
    </row>
    <row r="163" spans="2:10" s="14" customFormat="1" outlineLevel="1" x14ac:dyDescent="0.25">
      <c r="B163" s="41" t="s">
        <v>107</v>
      </c>
      <c r="F163" s="18">
        <f ca="1">F167</f>
        <v>249.68802869999996</v>
      </c>
      <c r="G163" s="18">
        <f t="shared" ref="G163:J163" ca="1" si="77">G167</f>
        <v>255.93022941749993</v>
      </c>
      <c r="H163" s="18">
        <f t="shared" ca="1" si="77"/>
        <v>268.72674088837493</v>
      </c>
      <c r="I163" s="18">
        <f t="shared" ca="1" si="77"/>
        <v>282.16307793279373</v>
      </c>
      <c r="J163" s="18">
        <f t="shared" ca="1" si="77"/>
        <v>296.27123182943348</v>
      </c>
    </row>
    <row r="164" spans="2:10" s="14" customFormat="1" outlineLevel="1" x14ac:dyDescent="0.25">
      <c r="B164" s="19" t="s">
        <v>77</v>
      </c>
      <c r="C164" s="19"/>
      <c r="D164" s="20">
        <f>D69</f>
        <v>679</v>
      </c>
      <c r="E164" s="20">
        <f t="shared" ref="E164" si="78">E69</f>
        <v>850</v>
      </c>
      <c r="F164" s="20">
        <f ca="1">SUM(F161:F163)</f>
        <v>1099.6880286999999</v>
      </c>
      <c r="G164" s="20">
        <f t="shared" ref="G164:J164" ca="1" si="79">SUM(G161:G163)</f>
        <v>1355.6182581174999</v>
      </c>
      <c r="H164" s="20">
        <f t="shared" ca="1" si="79"/>
        <v>1624.3449990058748</v>
      </c>
      <c r="I164" s="20">
        <f t="shared" ca="1" si="79"/>
        <v>1906.5080769386686</v>
      </c>
      <c r="J164" s="20">
        <f t="shared" ca="1" si="79"/>
        <v>2202.7793087681021</v>
      </c>
    </row>
    <row r="165" spans="2:10" s="14" customFormat="1" ht="5.25" customHeight="1" outlineLevel="1" x14ac:dyDescent="0.25">
      <c r="B165" s="41"/>
    </row>
    <row r="166" spans="2:10" s="14" customFormat="1" outlineLevel="1" x14ac:dyDescent="0.25">
      <c r="B166" s="41" t="s">
        <v>108</v>
      </c>
      <c r="D166" s="22">
        <v>305.767</v>
      </c>
      <c r="E166" s="22">
        <v>265.13499999999999</v>
      </c>
      <c r="F166" s="22">
        <v>0</v>
      </c>
      <c r="G166" s="22">
        <v>0</v>
      </c>
      <c r="H166" s="22">
        <v>0</v>
      </c>
      <c r="I166" s="22">
        <v>0</v>
      </c>
      <c r="J166" s="22">
        <v>0</v>
      </c>
    </row>
    <row r="167" spans="2:10" s="14" customFormat="1" outlineLevel="1" x14ac:dyDescent="0.25">
      <c r="B167" s="41" t="s">
        <v>39</v>
      </c>
      <c r="D167" s="18">
        <f>D46</f>
        <v>209</v>
      </c>
      <c r="E167" s="18">
        <f>E46</f>
        <v>250</v>
      </c>
      <c r="F167" s="18">
        <f ca="1">-(F168*SUM(F18:F19,F15))</f>
        <v>249.68802869999996</v>
      </c>
      <c r="G167" s="18">
        <f ca="1">-(G168*SUM(G18:G19,G15))</f>
        <v>255.93022941749993</v>
      </c>
      <c r="H167" s="18">
        <f ca="1">-(H168*SUM(H18:H19,H15))</f>
        <v>268.72674088837493</v>
      </c>
      <c r="I167" s="18">
        <f ca="1">-(I168*SUM(I18:I19,I15))</f>
        <v>282.16307793279373</v>
      </c>
      <c r="J167" s="18">
        <f ca="1">-(J168*SUM(J18:J19,J15))</f>
        <v>296.27123182943348</v>
      </c>
    </row>
    <row r="168" spans="2:10" s="14" customFormat="1" outlineLevel="1" x14ac:dyDescent="0.25">
      <c r="B168" s="41" t="s">
        <v>109</v>
      </c>
      <c r="D168" s="29">
        <f>-(D167/SUM(D15,D18:D19))</f>
        <v>3.8249666001720318E-3</v>
      </c>
      <c r="E168" s="29">
        <f>-(E167/SUM(E15,E18:E19))</f>
        <v>4.5554765939612605E-3</v>
      </c>
      <c r="F168" s="31">
        <v>4.4999999999999997E-3</v>
      </c>
      <c r="G168" s="31">
        <v>4.4999999999999997E-3</v>
      </c>
      <c r="H168" s="31">
        <v>4.4999999999999997E-3</v>
      </c>
      <c r="I168" s="31">
        <v>4.4999999999999997E-3</v>
      </c>
      <c r="J168" s="31">
        <v>4.4999999999999997E-3</v>
      </c>
    </row>
    <row r="169" spans="2:10" s="14" customFormat="1" ht="5.25" customHeight="1" outlineLevel="1" x14ac:dyDescent="0.25">
      <c r="B169" s="41"/>
    </row>
    <row r="170" spans="2:10" s="14" customFormat="1" outlineLevel="1" x14ac:dyDescent="0.25">
      <c r="B170" s="27" t="s">
        <v>110</v>
      </c>
    </row>
    <row r="171" spans="2:10" s="14" customFormat="1" outlineLevel="1" x14ac:dyDescent="0.25">
      <c r="B171" s="41" t="s">
        <v>75</v>
      </c>
      <c r="F171" s="18">
        <f>E173</f>
        <v>0</v>
      </c>
      <c r="G171" s="18">
        <f t="shared" ref="G171:J171" si="80">F173</f>
        <v>-1300</v>
      </c>
      <c r="H171" s="18">
        <f t="shared" si="80"/>
        <v>-2600</v>
      </c>
      <c r="I171" s="18">
        <f t="shared" si="80"/>
        <v>-3900</v>
      </c>
      <c r="J171" s="18">
        <f t="shared" si="80"/>
        <v>-5200</v>
      </c>
    </row>
    <row r="172" spans="2:10" s="14" customFormat="1" outlineLevel="1" x14ac:dyDescent="0.25">
      <c r="B172" s="41" t="s">
        <v>111</v>
      </c>
      <c r="F172" s="18">
        <f>F175</f>
        <v>-1300</v>
      </c>
      <c r="G172" s="18">
        <f t="shared" ref="G172:J172" si="81">G175</f>
        <v>-1300</v>
      </c>
      <c r="H172" s="18">
        <f t="shared" si="81"/>
        <v>-1300</v>
      </c>
      <c r="I172" s="18">
        <f t="shared" si="81"/>
        <v>-1300</v>
      </c>
      <c r="J172" s="18">
        <f t="shared" si="81"/>
        <v>-1300</v>
      </c>
    </row>
    <row r="173" spans="2:10" s="14" customFormat="1" outlineLevel="1" x14ac:dyDescent="0.25">
      <c r="B173" s="19" t="s">
        <v>77</v>
      </c>
      <c r="C173" s="19"/>
      <c r="D173" s="20">
        <f>D70</f>
        <v>0</v>
      </c>
      <c r="E173" s="20">
        <f>E70</f>
        <v>0</v>
      </c>
      <c r="F173" s="20">
        <f>SUM(F171:F172)</f>
        <v>-1300</v>
      </c>
      <c r="G173" s="20">
        <f>SUM(G171:G172)</f>
        <v>-2600</v>
      </c>
      <c r="H173" s="20">
        <f>SUM(H171:H172)</f>
        <v>-3900</v>
      </c>
      <c r="I173" s="20">
        <f>SUM(I171:I172)</f>
        <v>-5200</v>
      </c>
      <c r="J173" s="20">
        <f>SUM(J171:J172)</f>
        <v>-6500</v>
      </c>
    </row>
    <row r="174" spans="2:10" s="14" customFormat="1" ht="5.25" customHeight="1" outlineLevel="1" x14ac:dyDescent="0.25">
      <c r="B174" s="41"/>
    </row>
    <row r="175" spans="2:10" s="14" customFormat="1" outlineLevel="1" x14ac:dyDescent="0.25">
      <c r="B175" s="41" t="s">
        <v>112</v>
      </c>
      <c r="D175" s="22">
        <v>0</v>
      </c>
      <c r="E175" s="22">
        <v>0</v>
      </c>
      <c r="F175" s="22">
        <f>-(6500/5)</f>
        <v>-1300</v>
      </c>
      <c r="G175" s="22">
        <f>-(6500/5)</f>
        <v>-1300</v>
      </c>
      <c r="H175" s="22">
        <f>-(6500/5)</f>
        <v>-1300</v>
      </c>
      <c r="I175" s="22">
        <f>-(6500/5)</f>
        <v>-1300</v>
      </c>
      <c r="J175" s="22">
        <f>-(6500/5)</f>
        <v>-1300</v>
      </c>
    </row>
    <row r="176" spans="2:10" ht="5.25" customHeight="1" x14ac:dyDescent="0.25"/>
    <row r="177" spans="1:10" s="14" customFormat="1" ht="23.25" x14ac:dyDescent="0.35">
      <c r="A177" s="49"/>
      <c r="B177" s="50" t="s">
        <v>114</v>
      </c>
      <c r="C177" s="49"/>
      <c r="D177" s="49"/>
      <c r="E177" s="49"/>
      <c r="F177" s="49"/>
      <c r="G177" s="49"/>
      <c r="H177" s="49"/>
      <c r="I177" s="49"/>
      <c r="J177" s="49"/>
    </row>
    <row r="178" spans="1:10" s="14" customFormat="1" ht="5.25" customHeight="1" outlineLevel="1" x14ac:dyDescent="0.25"/>
    <row r="179" spans="1:10" s="14" customFormat="1" outlineLevel="1" x14ac:dyDescent="0.25">
      <c r="B179" s="27" t="s">
        <v>115</v>
      </c>
    </row>
    <row r="180" spans="1:10" s="14" customFormat="1" outlineLevel="1" x14ac:dyDescent="0.25">
      <c r="B180" s="41" t="s">
        <v>75</v>
      </c>
      <c r="F180" s="18">
        <f>E183</f>
        <v>-818</v>
      </c>
      <c r="G180" s="18">
        <f t="shared" ref="G180:J180" ca="1" si="82">F183</f>
        <v>238.21796192592683</v>
      </c>
      <c r="H180" s="18">
        <f t="shared" ca="1" si="82"/>
        <v>1381.5381027972146</v>
      </c>
      <c r="I180" s="18">
        <f t="shared" ca="1" si="82"/>
        <v>2666.3155017105069</v>
      </c>
      <c r="J180" s="18">
        <f t="shared" ca="1" si="82"/>
        <v>4024.1411859808104</v>
      </c>
    </row>
    <row r="181" spans="1:10" s="14" customFormat="1" outlineLevel="1" x14ac:dyDescent="0.25">
      <c r="B181" s="41" t="s">
        <v>116</v>
      </c>
      <c r="F181" s="21">
        <f ca="1">F185</f>
        <v>2794.2274125024519</v>
      </c>
      <c r="G181" s="21">
        <f t="shared" ref="G181:J181" ca="1" si="83">G185</f>
        <v>3024.6564538921252</v>
      </c>
      <c r="H181" s="21">
        <f t="shared" ca="1" si="83"/>
        <v>3398.8820035546278</v>
      </c>
      <c r="I181" s="21">
        <f t="shared" ca="1" si="83"/>
        <v>3592.1314404700001</v>
      </c>
      <c r="J181" s="21">
        <f t="shared" ca="1" si="83"/>
        <v>3780.0333276393189</v>
      </c>
    </row>
    <row r="182" spans="1:10" s="14" customFormat="1" outlineLevel="1" x14ac:dyDescent="0.25">
      <c r="B182" s="41" t="s">
        <v>117</v>
      </c>
      <c r="F182" s="21">
        <f ca="1">F187</f>
        <v>-1738.0094505765251</v>
      </c>
      <c r="G182" s="21">
        <f t="shared" ref="G182:J182" ca="1" si="84">G187</f>
        <v>-1881.3363143209019</v>
      </c>
      <c r="H182" s="21">
        <f t="shared" ca="1" si="84"/>
        <v>-2114.1046062109785</v>
      </c>
      <c r="I182" s="21">
        <f t="shared" ca="1" si="84"/>
        <v>-2234.3057559723402</v>
      </c>
      <c r="J182" s="21">
        <f t="shared" ca="1" si="84"/>
        <v>-2351.1807297916562</v>
      </c>
    </row>
    <row r="183" spans="1:10" s="14" customFormat="1" outlineLevel="1" x14ac:dyDescent="0.25">
      <c r="B183" s="19" t="s">
        <v>77</v>
      </c>
      <c r="C183" s="19"/>
      <c r="D183" s="20">
        <f>D71</f>
        <v>-473</v>
      </c>
      <c r="E183" s="20">
        <f t="shared" ref="E183" si="85">E71</f>
        <v>-818</v>
      </c>
      <c r="F183" s="20">
        <f ca="1">SUM(F180:F182)</f>
        <v>238.21796192592683</v>
      </c>
      <c r="G183" s="20">
        <f t="shared" ref="G183:J183" ca="1" si="86">SUM(G180:G182)</f>
        <v>1381.5381014971501</v>
      </c>
      <c r="H183" s="20">
        <f t="shared" ca="1" si="86"/>
        <v>2666.3155001408636</v>
      </c>
      <c r="I183" s="20">
        <f t="shared" ca="1" si="86"/>
        <v>4024.1411862081668</v>
      </c>
      <c r="J183" s="20">
        <f t="shared" ca="1" si="86"/>
        <v>5452.9937838284732</v>
      </c>
    </row>
    <row r="184" spans="1:10" s="14" customFormat="1" ht="5.25" customHeight="1" outlineLevel="1" x14ac:dyDescent="0.25">
      <c r="B184" s="41"/>
    </row>
    <row r="185" spans="1:10" s="14" customFormat="1" outlineLevel="1" x14ac:dyDescent="0.25">
      <c r="B185" s="41" t="s">
        <v>118</v>
      </c>
      <c r="D185" s="18">
        <f>D28</f>
        <v>5327</v>
      </c>
      <c r="E185" s="18">
        <f t="shared" ref="E185:J185" si="87">E28</f>
        <v>3152</v>
      </c>
      <c r="F185" s="18">
        <f t="shared" ca="1" si="87"/>
        <v>2794.2274124996993</v>
      </c>
      <c r="G185" s="18">
        <f t="shared" ca="1" si="87"/>
        <v>3024.6564538739403</v>
      </c>
      <c r="H185" s="18">
        <f t="shared" ca="1" si="87"/>
        <v>3398.8820033140573</v>
      </c>
      <c r="I185" s="18">
        <f t="shared" ca="1" si="87"/>
        <v>3592.1314402287217</v>
      </c>
      <c r="J185" s="18">
        <f t="shared" ca="1" si="87"/>
        <v>3780.0333246332157</v>
      </c>
    </row>
    <row r="186" spans="1:10" s="14" customFormat="1" outlineLevel="1" x14ac:dyDescent="0.25">
      <c r="B186" s="41" t="s">
        <v>119</v>
      </c>
      <c r="D186" s="29">
        <f>-(D187/D185)</f>
        <v>0.48000750891683874</v>
      </c>
      <c r="E186" s="29">
        <f>-(E187/E185)</f>
        <v>0.76300761421319796</v>
      </c>
      <c r="F186" s="31">
        <v>0.622</v>
      </c>
      <c r="G186" s="31">
        <v>0.622</v>
      </c>
      <c r="H186" s="31">
        <v>0.622</v>
      </c>
      <c r="I186" s="31">
        <v>0.622</v>
      </c>
      <c r="J186" s="31">
        <v>0.622</v>
      </c>
    </row>
    <row r="187" spans="1:10" s="14" customFormat="1" outlineLevel="1" x14ac:dyDescent="0.25">
      <c r="B187" s="41" t="s">
        <v>120</v>
      </c>
      <c r="D187" s="22">
        <v>-2557</v>
      </c>
      <c r="E187" s="22">
        <v>-2405</v>
      </c>
      <c r="F187" s="18">
        <f ca="1">-(F185*F186)</f>
        <v>-1738.0094505748129</v>
      </c>
      <c r="G187" s="18">
        <f ca="1">-(G185*G186)</f>
        <v>-1881.336314309591</v>
      </c>
      <c r="H187" s="18">
        <f ca="1">-(H185*H186)</f>
        <v>-2114.1046060613435</v>
      </c>
      <c r="I187" s="18">
        <f ca="1">-(I185*I186)</f>
        <v>-2234.3057558222649</v>
      </c>
      <c r="J187" s="18">
        <f ca="1">-(J185*J186)</f>
        <v>-2351.1807279218601</v>
      </c>
    </row>
    <row r="188" spans="1:10" s="14" customFormat="1" ht="5.25" customHeight="1" outlineLevel="1" x14ac:dyDescent="0.25">
      <c r="B188" s="41"/>
    </row>
    <row r="189" spans="1:10" s="14" customFormat="1" outlineLevel="1" x14ac:dyDescent="0.25">
      <c r="B189" s="27" t="s">
        <v>55</v>
      </c>
    </row>
    <row r="190" spans="1:10" s="14" customFormat="1" outlineLevel="1" x14ac:dyDescent="0.25">
      <c r="B190" s="41" t="s">
        <v>75</v>
      </c>
      <c r="F190" s="18">
        <f>E192</f>
        <v>-1225</v>
      </c>
      <c r="G190" s="18">
        <f t="shared" ref="G190:J190" si="88">F192</f>
        <v>-1225</v>
      </c>
      <c r="H190" s="18">
        <f t="shared" si="88"/>
        <v>-1225</v>
      </c>
      <c r="I190" s="18">
        <f t="shared" si="88"/>
        <v>-1225</v>
      </c>
      <c r="J190" s="18">
        <f t="shared" si="88"/>
        <v>-1225</v>
      </c>
    </row>
    <row r="191" spans="1:10" s="14" customFormat="1" outlineLevel="1" x14ac:dyDescent="0.25">
      <c r="B191" s="41" t="s">
        <v>121</v>
      </c>
      <c r="F191" s="22">
        <v>0</v>
      </c>
      <c r="G191" s="22">
        <v>0</v>
      </c>
      <c r="H191" s="22">
        <v>0</v>
      </c>
      <c r="I191" s="22">
        <v>0</v>
      </c>
      <c r="J191" s="22">
        <v>0</v>
      </c>
    </row>
    <row r="192" spans="1:10" s="14" customFormat="1" outlineLevel="1" x14ac:dyDescent="0.25">
      <c r="B192" s="19" t="s">
        <v>77</v>
      </c>
      <c r="C192" s="19"/>
      <c r="D192" s="20">
        <f>D72</f>
        <v>-845</v>
      </c>
      <c r="E192" s="20">
        <f>E72</f>
        <v>-1225</v>
      </c>
      <c r="F192" s="20">
        <f>SUM(F190:F191)</f>
        <v>-1225</v>
      </c>
      <c r="G192" s="20">
        <f t="shared" ref="G192:J192" si="89">SUM(G190:G191)</f>
        <v>-1225</v>
      </c>
      <c r="H192" s="20">
        <f t="shared" si="89"/>
        <v>-1225</v>
      </c>
      <c r="I192" s="20">
        <f t="shared" si="89"/>
        <v>-1225</v>
      </c>
      <c r="J192" s="20">
        <f t="shared" si="89"/>
        <v>-1225</v>
      </c>
    </row>
    <row r="193" spans="1:10" ht="5.25" customHeight="1" x14ac:dyDescent="0.25"/>
    <row r="194" spans="1:10" ht="28.5" x14ac:dyDescent="0.45">
      <c r="A194" s="13" t="s">
        <v>12</v>
      </c>
      <c r="B194" s="4" t="s">
        <v>122</v>
      </c>
      <c r="C194" s="2"/>
      <c r="D194" s="2"/>
      <c r="E194" s="2"/>
      <c r="F194" s="2"/>
      <c r="G194" s="2"/>
      <c r="H194" s="2"/>
      <c r="I194" s="2"/>
      <c r="J194" s="2"/>
    </row>
    <row r="195" spans="1:10" ht="5.25" customHeight="1" x14ac:dyDescent="0.25"/>
    <row r="196" spans="1:10" ht="15" customHeight="1" x14ac:dyDescent="0.25">
      <c r="B196" s="1" t="s">
        <v>118</v>
      </c>
      <c r="F196" s="70">
        <f ca="1">F28</f>
        <v>2794.2274124996993</v>
      </c>
      <c r="G196" s="70">
        <f t="shared" ref="G196:J196" ca="1" si="90">G28</f>
        <v>3024.6564538739403</v>
      </c>
      <c r="H196" s="70">
        <f t="shared" ca="1" si="90"/>
        <v>3398.8820033140573</v>
      </c>
      <c r="I196" s="70">
        <f t="shared" ca="1" si="90"/>
        <v>3592.1314402287217</v>
      </c>
      <c r="J196" s="70">
        <f t="shared" ca="1" si="90"/>
        <v>3780.0333246332157</v>
      </c>
    </row>
    <row r="197" spans="1:10" ht="15" customHeight="1" x14ac:dyDescent="0.25">
      <c r="B197" s="1" t="s">
        <v>38</v>
      </c>
      <c r="F197" s="46">
        <f ca="1">F45</f>
        <v>781.61505</v>
      </c>
      <c r="G197" s="46">
        <f t="shared" ref="G197:J197" ca="1" si="91">G45</f>
        <v>1150.0615329999998</v>
      </c>
      <c r="H197" s="46">
        <f t="shared" ca="1" si="91"/>
        <v>1201.7646096499998</v>
      </c>
      <c r="I197" s="46">
        <f t="shared" ca="1" si="91"/>
        <v>1140.8858302664062</v>
      </c>
      <c r="J197" s="46">
        <f t="shared" ca="1" si="91"/>
        <v>1219.8432715957113</v>
      </c>
    </row>
    <row r="198" spans="1:10" ht="15" customHeight="1" x14ac:dyDescent="0.25">
      <c r="B198" s="1" t="s">
        <v>39</v>
      </c>
      <c r="F198" s="46">
        <f ca="1">F167</f>
        <v>249.68802869999996</v>
      </c>
      <c r="G198" s="46">
        <f t="shared" ref="G198:J198" ca="1" si="92">G167</f>
        <v>255.93022941749993</v>
      </c>
      <c r="H198" s="46">
        <f t="shared" ca="1" si="92"/>
        <v>268.72674088837493</v>
      </c>
      <c r="I198" s="46">
        <f t="shared" ca="1" si="92"/>
        <v>282.16307793279373</v>
      </c>
      <c r="J198" s="46">
        <f t="shared" ca="1" si="92"/>
        <v>296.27123182943348</v>
      </c>
    </row>
    <row r="199" spans="1:10" ht="15" customHeight="1" x14ac:dyDescent="0.25">
      <c r="B199" s="1" t="s">
        <v>43</v>
      </c>
      <c r="F199" s="46">
        <f ca="1">-(F88)</f>
        <v>-496.79159999999956</v>
      </c>
      <c r="G199" s="46">
        <f t="shared" ref="G199:J199" ca="1" si="93">-(G88)</f>
        <v>-163.19478999999956</v>
      </c>
      <c r="H199" s="46">
        <f t="shared" ca="1" si="93"/>
        <v>-334.54931949999991</v>
      </c>
      <c r="I199" s="46">
        <f t="shared" ca="1" si="93"/>
        <v>-351.27678547500091</v>
      </c>
      <c r="J199" s="46">
        <f t="shared" ca="1" si="93"/>
        <v>-368.840624748751</v>
      </c>
    </row>
    <row r="200" spans="1:10" ht="15" customHeight="1" x14ac:dyDescent="0.25">
      <c r="B200" s="1" t="s">
        <v>44</v>
      </c>
      <c r="F200" s="46">
        <f ca="1">-(F96)</f>
        <v>-69.800167999998848</v>
      </c>
      <c r="G200" s="46">
        <f t="shared" ref="G200:J200" ca="1" si="94">-(G96)</f>
        <v>-145.09500419999949</v>
      </c>
      <c r="H200" s="46">
        <f t="shared" ca="1" si="94"/>
        <v>-297.44475861000046</v>
      </c>
      <c r="I200" s="46">
        <f t="shared" ca="1" si="94"/>
        <v>-312.31699654050135</v>
      </c>
      <c r="J200" s="46">
        <f t="shared" ca="1" si="94"/>
        <v>-327.93284636752469</v>
      </c>
    </row>
    <row r="201" spans="1:10" ht="15" customHeight="1" x14ac:dyDescent="0.25">
      <c r="B201" s="1" t="s">
        <v>47</v>
      </c>
      <c r="F201" s="46">
        <f ca="1">F104</f>
        <v>326.80044799999814</v>
      </c>
      <c r="G201" s="46">
        <f t="shared" ref="G201:J201" ca="1" si="95">G104</f>
        <v>386.92001119999986</v>
      </c>
      <c r="H201" s="46">
        <f t="shared" ca="1" si="95"/>
        <v>793.18602295999881</v>
      </c>
      <c r="I201" s="46">
        <f t="shared" ca="1" si="95"/>
        <v>832.84532410800239</v>
      </c>
      <c r="J201" s="46">
        <f t="shared" ca="1" si="95"/>
        <v>874.4875903134016</v>
      </c>
    </row>
    <row r="202" spans="1:10" ht="15" customHeight="1" x14ac:dyDescent="0.25">
      <c r="B202" s="1" t="s">
        <v>67</v>
      </c>
      <c r="F202" s="46">
        <f>-(F136)</f>
        <v>0</v>
      </c>
      <c r="G202" s="46">
        <f t="shared" ref="G202:J202" si="96">-(G136)</f>
        <v>0</v>
      </c>
      <c r="H202" s="46">
        <f t="shared" si="96"/>
        <v>0</v>
      </c>
      <c r="I202" s="46">
        <f t="shared" si="96"/>
        <v>0</v>
      </c>
      <c r="J202" s="46">
        <f t="shared" si="96"/>
        <v>0</v>
      </c>
    </row>
    <row r="203" spans="1:10" ht="15" customHeight="1" x14ac:dyDescent="0.25">
      <c r="B203" s="1" t="s">
        <v>123</v>
      </c>
      <c r="F203" s="46">
        <v>0</v>
      </c>
      <c r="G203" s="46">
        <v>0</v>
      </c>
      <c r="H203" s="46">
        <v>0</v>
      </c>
      <c r="I203" s="46">
        <v>0</v>
      </c>
      <c r="J203" s="46">
        <v>0</v>
      </c>
    </row>
    <row r="204" spans="1:10" ht="15" customHeight="1" x14ac:dyDescent="0.25">
      <c r="B204" s="1" t="s">
        <v>97</v>
      </c>
      <c r="F204" s="46">
        <f>F141</f>
        <v>225</v>
      </c>
      <c r="G204" s="46">
        <f t="shared" ref="G204:J204" si="97">G141</f>
        <v>225</v>
      </c>
      <c r="H204" s="46">
        <f t="shared" si="97"/>
        <v>225</v>
      </c>
      <c r="I204" s="46">
        <f t="shared" si="97"/>
        <v>225</v>
      </c>
      <c r="J204" s="46">
        <f t="shared" si="97"/>
        <v>225</v>
      </c>
    </row>
    <row r="205" spans="1:10" ht="15" customHeight="1" x14ac:dyDescent="0.25">
      <c r="B205" s="1" t="s">
        <v>124</v>
      </c>
      <c r="F205" s="46">
        <f>F149</f>
        <v>0</v>
      </c>
      <c r="G205" s="46">
        <f t="shared" ref="G205:J205" si="98">G149</f>
        <v>51.899999999999991</v>
      </c>
      <c r="H205" s="46">
        <f t="shared" si="98"/>
        <v>18.449999999999996</v>
      </c>
      <c r="I205" s="46">
        <f t="shared" si="98"/>
        <v>14.399999999999997</v>
      </c>
      <c r="J205" s="46">
        <f t="shared" si="98"/>
        <v>14.399999999999997</v>
      </c>
    </row>
    <row r="206" spans="1:10" ht="15" customHeight="1" x14ac:dyDescent="0.25">
      <c r="B206" s="58" t="s">
        <v>125</v>
      </c>
      <c r="C206" s="65"/>
      <c r="D206" s="65"/>
      <c r="E206" s="65"/>
      <c r="F206" s="73">
        <f ca="1">SUM(F196:F205)</f>
        <v>3810.7391711996988</v>
      </c>
      <c r="G206" s="73">
        <f t="shared" ref="G206:J206" ca="1" si="99">SUM(G196:G205)</f>
        <v>4786.1784332914403</v>
      </c>
      <c r="H206" s="73">
        <f t="shared" ca="1" si="99"/>
        <v>5274.0152987024303</v>
      </c>
      <c r="I206" s="73">
        <f t="shared" ca="1" si="99"/>
        <v>5423.8318905204205</v>
      </c>
      <c r="J206" s="73">
        <f t="shared" ca="1" si="99"/>
        <v>5713.2619472554861</v>
      </c>
    </row>
    <row r="207" spans="1:10" ht="5.25" customHeight="1" x14ac:dyDescent="0.25">
      <c r="F207" s="72"/>
      <c r="G207" s="72"/>
      <c r="H207" s="72"/>
      <c r="I207" s="72"/>
      <c r="J207" s="72"/>
    </row>
    <row r="208" spans="1:10" ht="15" customHeight="1" x14ac:dyDescent="0.25">
      <c r="B208" s="1" t="s">
        <v>126</v>
      </c>
      <c r="F208" s="46">
        <f ca="1">-(F117)</f>
        <v>-741.79449999999997</v>
      </c>
      <c r="G208" s="46">
        <f t="shared" ref="G208:J208" ca="1" si="100">-(G117)</f>
        <v>-1216.5429799999999</v>
      </c>
      <c r="H208" s="46">
        <f t="shared" ca="1" si="100"/>
        <v>-1277.3701289999999</v>
      </c>
      <c r="I208" s="46">
        <f t="shared" ca="1" si="100"/>
        <v>-1173.58380601875</v>
      </c>
      <c r="J208" s="46">
        <f t="shared" ca="1" si="100"/>
        <v>-1232.2629963196878</v>
      </c>
    </row>
    <row r="209" spans="1:10" ht="15" customHeight="1" x14ac:dyDescent="0.25">
      <c r="B209" s="1" t="s">
        <v>127</v>
      </c>
      <c r="F209" s="46">
        <f>-(F129)</f>
        <v>0</v>
      </c>
      <c r="G209" s="46">
        <f t="shared" ref="G209:J209" si="101">-(G129)</f>
        <v>0</v>
      </c>
      <c r="H209" s="46">
        <f t="shared" si="101"/>
        <v>0</v>
      </c>
      <c r="I209" s="46">
        <f t="shared" si="101"/>
        <v>0</v>
      </c>
      <c r="J209" s="46">
        <f t="shared" si="101"/>
        <v>0</v>
      </c>
    </row>
    <row r="210" spans="1:10" ht="15" customHeight="1" x14ac:dyDescent="0.25">
      <c r="B210" s="58" t="s">
        <v>128</v>
      </c>
      <c r="C210" s="65"/>
      <c r="D210" s="65"/>
      <c r="E210" s="65"/>
      <c r="F210" s="73">
        <f ca="1">SUM(F208:F209)</f>
        <v>-741.79449999999997</v>
      </c>
      <c r="G210" s="73">
        <f t="shared" ref="G210:J210" ca="1" si="102">SUM(G208:G209)</f>
        <v>-1216.5429799999999</v>
      </c>
      <c r="H210" s="73">
        <f t="shared" ca="1" si="102"/>
        <v>-1277.3701289999999</v>
      </c>
      <c r="I210" s="73">
        <f t="shared" ca="1" si="102"/>
        <v>-1173.58380601875</v>
      </c>
      <c r="J210" s="73">
        <f t="shared" ca="1" si="102"/>
        <v>-1232.2629963196878</v>
      </c>
    </row>
    <row r="211" spans="1:10" ht="5.25" customHeight="1" x14ac:dyDescent="0.25">
      <c r="F211" s="72"/>
      <c r="G211" s="72"/>
      <c r="H211" s="72"/>
      <c r="I211" s="72"/>
      <c r="J211" s="72"/>
    </row>
    <row r="212" spans="1:10" ht="15" customHeight="1" x14ac:dyDescent="0.25">
      <c r="B212" s="1" t="s">
        <v>49</v>
      </c>
      <c r="F212" s="46">
        <f>F148</f>
        <v>0</v>
      </c>
      <c r="G212" s="46">
        <f t="shared" ref="G212:J212" si="103">G148</f>
        <v>0</v>
      </c>
      <c r="H212" s="46">
        <f t="shared" si="103"/>
        <v>0</v>
      </c>
      <c r="I212" s="46">
        <f t="shared" si="103"/>
        <v>0</v>
      </c>
      <c r="J212" s="46">
        <f t="shared" si="103"/>
        <v>0</v>
      </c>
    </row>
    <row r="213" spans="1:10" ht="15" customHeight="1" x14ac:dyDescent="0.25">
      <c r="B213" s="1" t="s">
        <v>120</v>
      </c>
      <c r="F213" s="46">
        <f ca="1">F187</f>
        <v>-1738.0094505748129</v>
      </c>
      <c r="G213" s="46">
        <f t="shared" ref="G213:J213" ca="1" si="104">G187</f>
        <v>-1881.336314309591</v>
      </c>
      <c r="H213" s="46">
        <f t="shared" ca="1" si="104"/>
        <v>-2114.1046060613435</v>
      </c>
      <c r="I213" s="46">
        <f t="shared" ca="1" si="104"/>
        <v>-2234.3057558222649</v>
      </c>
      <c r="J213" s="46">
        <f t="shared" ca="1" si="104"/>
        <v>-2351.1807279218601</v>
      </c>
    </row>
    <row r="214" spans="1:10" ht="15" customHeight="1" x14ac:dyDescent="0.25">
      <c r="B214" s="1" t="s">
        <v>129</v>
      </c>
      <c r="F214" s="46">
        <f>F166</f>
        <v>0</v>
      </c>
      <c r="G214" s="46">
        <f t="shared" ref="G214:J214" si="105">G166</f>
        <v>0</v>
      </c>
      <c r="H214" s="46">
        <f t="shared" si="105"/>
        <v>0</v>
      </c>
      <c r="I214" s="46">
        <f t="shared" si="105"/>
        <v>0</v>
      </c>
      <c r="J214" s="46">
        <f t="shared" si="105"/>
        <v>0</v>
      </c>
    </row>
    <row r="215" spans="1:10" ht="15" customHeight="1" x14ac:dyDescent="0.25">
      <c r="B215" s="1" t="s">
        <v>130</v>
      </c>
      <c r="F215" s="46">
        <f>F175</f>
        <v>-1300</v>
      </c>
      <c r="G215" s="46">
        <f t="shared" ref="G215:J215" si="106">G175</f>
        <v>-1300</v>
      </c>
      <c r="H215" s="46">
        <f t="shared" si="106"/>
        <v>-1300</v>
      </c>
      <c r="I215" s="46">
        <f t="shared" si="106"/>
        <v>-1300</v>
      </c>
      <c r="J215" s="46">
        <f t="shared" si="106"/>
        <v>-1300</v>
      </c>
    </row>
    <row r="216" spans="1:10" ht="15" customHeight="1" x14ac:dyDescent="0.25">
      <c r="B216" s="1" t="s">
        <v>55</v>
      </c>
      <c r="F216" s="46">
        <f>F191</f>
        <v>0</v>
      </c>
      <c r="G216" s="46">
        <f t="shared" ref="G216:J216" si="107">G191</f>
        <v>0</v>
      </c>
      <c r="H216" s="46">
        <f t="shared" si="107"/>
        <v>0</v>
      </c>
      <c r="I216" s="46">
        <f t="shared" si="107"/>
        <v>0</v>
      </c>
      <c r="J216" s="46">
        <f t="shared" si="107"/>
        <v>0</v>
      </c>
    </row>
    <row r="217" spans="1:10" ht="15" customHeight="1" x14ac:dyDescent="0.25">
      <c r="B217" s="1" t="s">
        <v>48</v>
      </c>
      <c r="F217" s="46">
        <f ca="1">F225</f>
        <v>432.06477937407362</v>
      </c>
      <c r="G217" s="46">
        <f t="shared" ref="G217:J217" ca="1" si="108">G225</f>
        <v>-388.29914055058089</v>
      </c>
      <c r="H217" s="46">
        <f t="shared" ca="1" si="108"/>
        <v>-43.765638632689388</v>
      </c>
      <c r="I217" s="46">
        <f t="shared" ca="1" si="108"/>
        <v>0</v>
      </c>
      <c r="J217" s="46">
        <f t="shared" ca="1" si="108"/>
        <v>0</v>
      </c>
    </row>
    <row r="218" spans="1:10" ht="15" customHeight="1" x14ac:dyDescent="0.25">
      <c r="B218" s="58" t="s">
        <v>131</v>
      </c>
      <c r="C218" s="65"/>
      <c r="D218" s="65"/>
      <c r="E218" s="65"/>
      <c r="F218" s="71">
        <f ca="1">SUM(F212:F217)</f>
        <v>-2605.9446712007393</v>
      </c>
      <c r="G218" s="71">
        <f t="shared" ref="G218:J218" ca="1" si="109">SUM(G212:G217)</f>
        <v>-3569.6354548601721</v>
      </c>
      <c r="H218" s="71">
        <f t="shared" ca="1" si="109"/>
        <v>-3457.8702446940329</v>
      </c>
      <c r="I218" s="71">
        <f t="shared" ca="1" si="109"/>
        <v>-3534.3057558222649</v>
      </c>
      <c r="J218" s="71">
        <f t="shared" ca="1" si="109"/>
        <v>-3651.1807279218601</v>
      </c>
    </row>
    <row r="219" spans="1:10" ht="5.25" customHeight="1" x14ac:dyDescent="0.25"/>
    <row r="220" spans="1:10" ht="15.75" thickBot="1" x14ac:dyDescent="0.3">
      <c r="B220" s="66" t="s">
        <v>132</v>
      </c>
      <c r="C220" s="67"/>
      <c r="D220" s="67"/>
      <c r="E220" s="67"/>
      <c r="F220" s="68">
        <f ca="1">F206+F210+F218</f>
        <v>462.99999999895954</v>
      </c>
      <c r="G220" s="68">
        <f t="shared" ref="G220:J220" ca="1" si="110">G206+G210+G218</f>
        <v>-1.5687319319113158E-6</v>
      </c>
      <c r="H220" s="68">
        <f t="shared" ca="1" si="110"/>
        <v>538.77492500839753</v>
      </c>
      <c r="I220" s="68">
        <f t="shared" ca="1" si="110"/>
        <v>715.94232867940582</v>
      </c>
      <c r="J220" s="68">
        <f t="shared" ca="1" si="110"/>
        <v>829.81822301393822</v>
      </c>
    </row>
    <row r="221" spans="1:10" ht="5.25" customHeight="1" thickTop="1" x14ac:dyDescent="0.25"/>
    <row r="222" spans="1:10" s="14" customFormat="1" ht="23.25" x14ac:dyDescent="0.35">
      <c r="A222" s="49"/>
      <c r="B222" s="50" t="s">
        <v>133</v>
      </c>
      <c r="C222" s="49"/>
      <c r="D222" s="49"/>
      <c r="E222" s="49"/>
      <c r="F222" s="49"/>
      <c r="G222" s="49"/>
      <c r="H222" s="49"/>
      <c r="I222" s="49"/>
      <c r="J222" s="49"/>
    </row>
    <row r="223" spans="1:10" s="14" customFormat="1" ht="5.25" customHeight="1" outlineLevel="1" x14ac:dyDescent="0.25"/>
    <row r="224" spans="1:10" s="14" customFormat="1" ht="15.75" outlineLevel="1" x14ac:dyDescent="0.25">
      <c r="B224" s="33" t="s">
        <v>75</v>
      </c>
      <c r="F224" s="18">
        <f>E226</f>
        <v>0</v>
      </c>
      <c r="G224" s="18">
        <f ca="1">F226</f>
        <v>432.06477937407362</v>
      </c>
      <c r="H224" s="18">
        <f ca="1">G226</f>
        <v>43.765638786809632</v>
      </c>
      <c r="I224" s="18">
        <f ca="1">H226</f>
        <v>0</v>
      </c>
      <c r="J224" s="18">
        <f ca="1">I226</f>
        <v>0</v>
      </c>
    </row>
    <row r="225" spans="2:10" s="14" customFormat="1" ht="15.75" outlineLevel="1" x14ac:dyDescent="0.25">
      <c r="B225" s="33" t="s">
        <v>76</v>
      </c>
      <c r="F225" s="18">
        <f ca="1">-MIN(F236,F224)</f>
        <v>432.06477937407362</v>
      </c>
      <c r="G225" s="18">
        <f t="shared" ref="G225:J225" ca="1" si="111">-MIN(G236,G224)</f>
        <v>-388.29913895203936</v>
      </c>
      <c r="H225" s="18">
        <f t="shared" ca="1" si="111"/>
        <v>-43.765638786809632</v>
      </c>
      <c r="I225" s="18">
        <f t="shared" ca="1" si="111"/>
        <v>0</v>
      </c>
      <c r="J225" s="18">
        <f t="shared" ca="1" si="111"/>
        <v>0</v>
      </c>
    </row>
    <row r="226" spans="2:10" s="14" customFormat="1" ht="15.75" outlineLevel="1" x14ac:dyDescent="0.25">
      <c r="B226" s="52" t="s">
        <v>77</v>
      </c>
      <c r="C226" s="19"/>
      <c r="D226" s="20">
        <f>D63</f>
        <v>0</v>
      </c>
      <c r="E226" s="20">
        <f>E63</f>
        <v>0</v>
      </c>
      <c r="F226" s="20">
        <f ca="1">SUM(F224:F225)</f>
        <v>432.06477937407362</v>
      </c>
      <c r="G226" s="20">
        <f ca="1">SUM(G224:G225)</f>
        <v>43.765640422034267</v>
      </c>
      <c r="H226" s="20">
        <f ca="1">SUM(H224:H225)</f>
        <v>0</v>
      </c>
      <c r="I226" s="20">
        <f ca="1">SUM(I224:I225)</f>
        <v>0</v>
      </c>
      <c r="J226" s="20">
        <f ca="1">SUM(J224:J225)</f>
        <v>0</v>
      </c>
    </row>
    <row r="227" spans="2:10" s="14" customFormat="1" ht="5.25" customHeight="1" outlineLevel="1" x14ac:dyDescent="0.25">
      <c r="B227" s="33"/>
    </row>
    <row r="228" spans="2:10" s="14" customFormat="1" ht="15.75" outlineLevel="1" x14ac:dyDescent="0.25">
      <c r="B228" s="33" t="s">
        <v>134</v>
      </c>
      <c r="F228" s="18">
        <f ca="1">SUM(F53:F54)</f>
        <v>12331.591767999998</v>
      </c>
      <c r="G228" s="18">
        <f t="shared" ref="G228:J228" ca="1" si="112">SUM(G53:G54)</f>
        <v>12639.881562199997</v>
      </c>
      <c r="H228" s="18">
        <f t="shared" ca="1" si="112"/>
        <v>13271.875640309998</v>
      </c>
      <c r="I228" s="18">
        <f t="shared" ca="1" si="112"/>
        <v>13935.469422325499</v>
      </c>
      <c r="J228" s="18">
        <f t="shared" ca="1" si="112"/>
        <v>14632.242893441777</v>
      </c>
    </row>
    <row r="229" spans="2:10" s="14" customFormat="1" ht="15.75" outlineLevel="1" x14ac:dyDescent="0.25">
      <c r="B229" s="33" t="s">
        <v>135</v>
      </c>
      <c r="F229" s="74" t="str">
        <f ca="1">IF(F226&gt;F228,"OVERDRAWN","OK")</f>
        <v>OK</v>
      </c>
      <c r="G229" s="74" t="str">
        <f ca="1">IF(G226&gt;G228,"OVERDRAWN","OK")</f>
        <v>OK</v>
      </c>
      <c r="H229" s="74" t="str">
        <f ca="1">IF(H226&gt;H228,"OVERDRAWN","OK")</f>
        <v>OK</v>
      </c>
      <c r="I229" s="74" t="str">
        <f ca="1">IF(I226&gt;I228,"OVERDRAWN","OK")</f>
        <v>OK</v>
      </c>
      <c r="J229" s="74" t="str">
        <f ca="1">IF(J226&gt;J228,"OVERDRAWN","OK")</f>
        <v>OK</v>
      </c>
    </row>
    <row r="230" spans="2:10" s="14" customFormat="1" ht="5.25" customHeight="1" outlineLevel="1" x14ac:dyDescent="0.25">
      <c r="B230" s="33"/>
    </row>
    <row r="231" spans="2:10" s="14" customFormat="1" ht="15.75" outlineLevel="1" x14ac:dyDescent="0.25">
      <c r="B231" s="37" t="s">
        <v>136</v>
      </c>
    </row>
    <row r="232" spans="2:10" s="14" customFormat="1" ht="15.75" outlineLevel="1" x14ac:dyDescent="0.25">
      <c r="B232" s="33" t="s">
        <v>75</v>
      </c>
      <c r="F232" s="18">
        <f>E52</f>
        <v>4537</v>
      </c>
      <c r="G232" s="18">
        <f t="shared" ref="G232:J232" ca="1" si="113">F52</f>
        <v>4999.9999999633164</v>
      </c>
      <c r="H232" s="18">
        <f t="shared" ca="1" si="113"/>
        <v>4999.9999982473382</v>
      </c>
      <c r="I232" s="18">
        <f t="shared" ca="1" si="113"/>
        <v>5538.7749727413093</v>
      </c>
      <c r="J232" s="18">
        <f t="shared" ca="1" si="113"/>
        <v>6254.7173015119188</v>
      </c>
    </row>
    <row r="233" spans="2:10" s="14" customFormat="1" ht="15.75" outlineLevel="1" x14ac:dyDescent="0.25">
      <c r="B233" s="33" t="s">
        <v>137</v>
      </c>
      <c r="F233" s="61">
        <v>5000</v>
      </c>
      <c r="G233" s="61">
        <v>5000</v>
      </c>
      <c r="H233" s="61">
        <v>5000</v>
      </c>
      <c r="I233" s="61">
        <v>5000</v>
      </c>
      <c r="J233" s="61">
        <v>5000</v>
      </c>
    </row>
    <row r="234" spans="2:10" s="14" customFormat="1" ht="15.75" outlineLevel="1" x14ac:dyDescent="0.25">
      <c r="B234" s="33" t="s">
        <v>138</v>
      </c>
      <c r="F234" s="18">
        <f>F232-F233</f>
        <v>-463</v>
      </c>
      <c r="G234" s="18">
        <f t="shared" ref="G234:J234" ca="1" si="114">G232-G233</f>
        <v>-3.6683559301309288E-8</v>
      </c>
      <c r="H234" s="18">
        <f t="shared" ca="1" si="114"/>
        <v>-1.7526617739349604E-6</v>
      </c>
      <c r="I234" s="18">
        <f t="shared" ca="1" si="114"/>
        <v>538.77497274130928</v>
      </c>
      <c r="J234" s="18">
        <f t="shared" ca="1" si="114"/>
        <v>1254.7173015119188</v>
      </c>
    </row>
    <row r="235" spans="2:10" s="14" customFormat="1" ht="15.75" outlineLevel="1" x14ac:dyDescent="0.25">
      <c r="B235" s="33" t="s">
        <v>139</v>
      </c>
      <c r="F235" s="18">
        <f ca="1">SUM(F212:F216,F210,F206)</f>
        <v>30.935220624885915</v>
      </c>
      <c r="G235" s="18">
        <f t="shared" ref="G235:J235" ca="1" si="115">SUM(G212:G216,G210,G206)</f>
        <v>388.29913898184896</v>
      </c>
      <c r="H235" s="18">
        <f t="shared" ca="1" si="115"/>
        <v>582.54056364108692</v>
      </c>
      <c r="I235" s="18">
        <f t="shared" ca="1" si="115"/>
        <v>715.94232867940536</v>
      </c>
      <c r="J235" s="18">
        <f t="shared" ca="1" si="115"/>
        <v>829.81822301393822</v>
      </c>
    </row>
    <row r="236" spans="2:10" s="14" customFormat="1" ht="15.75" outlineLevel="1" x14ac:dyDescent="0.25">
      <c r="B236" s="52" t="s">
        <v>140</v>
      </c>
      <c r="C236" s="75"/>
      <c r="D236" s="75"/>
      <c r="E236" s="75"/>
      <c r="F236" s="20">
        <f ca="1">F234+F235</f>
        <v>-432.06477937511409</v>
      </c>
      <c r="G236" s="20">
        <f t="shared" ref="G236:J236" ca="1" si="116">G234+G235</f>
        <v>388.2991389451654</v>
      </c>
      <c r="H236" s="20">
        <f t="shared" ca="1" si="116"/>
        <v>582.54056188842515</v>
      </c>
      <c r="I236" s="20">
        <f t="shared" ca="1" si="116"/>
        <v>1254.7173014207146</v>
      </c>
      <c r="J236" s="20">
        <f t="shared" ca="1" si="116"/>
        <v>2084.535524525857</v>
      </c>
    </row>
    <row r="237" spans="2:10" s="14" customFormat="1" ht="5.25" customHeight="1" outlineLevel="1" x14ac:dyDescent="0.25">
      <c r="B237" s="33"/>
    </row>
    <row r="238" spans="2:10" s="14" customFormat="1" ht="15.75" outlineLevel="1" x14ac:dyDescent="0.25">
      <c r="B238" s="33" t="s">
        <v>141</v>
      </c>
      <c r="F238" s="31">
        <v>2.5000000000000001E-2</v>
      </c>
      <c r="G238" s="31">
        <v>2.5000000000000001E-2</v>
      </c>
      <c r="H238" s="31">
        <v>2.5000000000000001E-2</v>
      </c>
      <c r="I238" s="31">
        <v>2.5000000000000001E-2</v>
      </c>
      <c r="J238" s="31">
        <v>2.5000000000000001E-2</v>
      </c>
    </row>
    <row r="239" spans="2:10" s="14" customFormat="1" ht="15.75" outlineLevel="1" x14ac:dyDescent="0.25">
      <c r="B239" s="33" t="s">
        <v>142</v>
      </c>
      <c r="F239" s="18">
        <f ca="1">F238*AVERAGE(F226,F224)</f>
        <v>5.4008097421759205</v>
      </c>
      <c r="G239" s="18">
        <f t="shared" ref="G239:J239" ca="1" si="117">G238*AVERAGE(G226,G224)</f>
        <v>5.9478802474513488</v>
      </c>
      <c r="H239" s="18">
        <f t="shared" ca="1" si="117"/>
        <v>0.54707048483512044</v>
      </c>
      <c r="I239" s="18">
        <f t="shared" ca="1" si="117"/>
        <v>0</v>
      </c>
      <c r="J239" s="18">
        <f t="shared" ca="1" si="117"/>
        <v>0</v>
      </c>
    </row>
    <row r="240" spans="2:10" s="14" customFormat="1" ht="5.25" customHeight="1" outlineLevel="1" x14ac:dyDescent="0.25"/>
    <row r="241" spans="1:10" s="14" customFormat="1" ht="15.75" outlineLevel="1" x14ac:dyDescent="0.25">
      <c r="B241" s="37" t="s">
        <v>143</v>
      </c>
    </row>
    <row r="242" spans="1:10" s="14" customFormat="1" ht="15.75" outlineLevel="1" x14ac:dyDescent="0.25">
      <c r="B242" s="33" t="s">
        <v>75</v>
      </c>
      <c r="F242" s="18">
        <f>E244</f>
        <v>4537</v>
      </c>
      <c r="G242" s="18">
        <f ca="1">F244</f>
        <v>4999.9999999633164</v>
      </c>
      <c r="H242" s="18">
        <f ca="1">G244</f>
        <v>4999.9999498176039</v>
      </c>
      <c r="I242" s="18">
        <f ca="1">H244</f>
        <v>5538.7749240871854</v>
      </c>
      <c r="J242" s="18">
        <f ca="1">I244</f>
        <v>6254.7172154804748</v>
      </c>
    </row>
    <row r="243" spans="1:10" s="14" customFormat="1" ht="15.75" outlineLevel="1" x14ac:dyDescent="0.25">
      <c r="B243" s="76" t="s">
        <v>144</v>
      </c>
      <c r="F243" s="18">
        <f ca="1">F244-F242</f>
        <v>462.99999996331644</v>
      </c>
      <c r="G243" s="18">
        <f ca="1">G244-G242</f>
        <v>-5.0145712521043606E-5</v>
      </c>
      <c r="H243" s="18">
        <f ca="1">H244-H242</f>
        <v>538.77497426958143</v>
      </c>
      <c r="I243" s="18">
        <f ca="1">I244-I242</f>
        <v>715.94229139328945</v>
      </c>
      <c r="J243" s="18">
        <f ca="1">J244-J242</f>
        <v>829.81818776368891</v>
      </c>
    </row>
    <row r="244" spans="1:10" s="14" customFormat="1" ht="15.75" outlineLevel="1" x14ac:dyDescent="0.25">
      <c r="B244" s="52" t="s">
        <v>77</v>
      </c>
      <c r="C244" s="19"/>
      <c r="D244" s="20">
        <f>D52</f>
        <v>5166</v>
      </c>
      <c r="E244" s="20">
        <f>E52</f>
        <v>4537</v>
      </c>
      <c r="F244" s="20">
        <f t="shared" ref="F244:J244" ca="1" si="118">F52</f>
        <v>4999.9999999633164</v>
      </c>
      <c r="G244" s="20">
        <f t="shared" ca="1" si="118"/>
        <v>4999.9999982473382</v>
      </c>
      <c r="H244" s="20">
        <f t="shared" ca="1" si="118"/>
        <v>5538.7749727413093</v>
      </c>
      <c r="I244" s="20">
        <f t="shared" ca="1" si="118"/>
        <v>6254.7173015119188</v>
      </c>
      <c r="J244" s="20">
        <f t="shared" ca="1" si="118"/>
        <v>7084.5355256621642</v>
      </c>
    </row>
    <row r="245" spans="1:10" s="14" customFormat="1" ht="5.25" customHeight="1" outlineLevel="1" x14ac:dyDescent="0.25">
      <c r="B245" s="33"/>
    </row>
    <row r="246" spans="1:10" s="14" customFormat="1" ht="15.75" outlineLevel="1" x14ac:dyDescent="0.25">
      <c r="B246" s="33" t="s">
        <v>145</v>
      </c>
      <c r="D246" s="31">
        <v>2.1600000000000001E-2</v>
      </c>
      <c r="E246" s="31">
        <v>2.1899999999999999E-2</v>
      </c>
      <c r="F246" s="31">
        <v>2.1899999999999999E-2</v>
      </c>
      <c r="G246" s="31">
        <v>2.1899999999999999E-2</v>
      </c>
      <c r="H246" s="31">
        <v>2.1899999999999999E-2</v>
      </c>
      <c r="I246" s="31">
        <v>2.1899999999999999E-2</v>
      </c>
      <c r="J246" s="31">
        <v>2.1899999999999999E-2</v>
      </c>
    </row>
    <row r="247" spans="1:10" s="14" customFormat="1" ht="15.75" outlineLevel="1" x14ac:dyDescent="0.25">
      <c r="B247" s="33" t="s">
        <v>20</v>
      </c>
      <c r="D247" s="21">
        <f>C22</f>
        <v>47</v>
      </c>
      <c r="E247" s="21">
        <f>E20</f>
        <v>3877</v>
      </c>
      <c r="F247" s="21">
        <f ca="1">F246*AVERAGE(F244,F242)</f>
        <v>104.43014999959831</v>
      </c>
      <c r="G247" s="21">
        <f t="shared" ref="G247:J247" ca="1" si="119">G246*AVERAGE(G244,G242)</f>
        <v>109.49999998040667</v>
      </c>
      <c r="H247" s="21">
        <f t="shared" ca="1" si="119"/>
        <v>115.39958540202011</v>
      </c>
      <c r="I247" s="21">
        <f t="shared" ca="1" si="119"/>
        <v>129.13873987031019</v>
      </c>
      <c r="J247" s="21">
        <f t="shared" ca="1" si="119"/>
        <v>146.06481751551189</v>
      </c>
    </row>
    <row r="248" spans="1:10" ht="5.25" customHeight="1" x14ac:dyDescent="0.25"/>
    <row r="249" spans="1:10" s="14" customFormat="1" ht="23.25" x14ac:dyDescent="0.35">
      <c r="A249" s="49"/>
      <c r="B249" s="50" t="s">
        <v>147</v>
      </c>
      <c r="C249" s="49"/>
      <c r="D249" s="49"/>
      <c r="E249" s="49"/>
      <c r="F249" s="49"/>
      <c r="G249" s="49"/>
      <c r="H249" s="49"/>
      <c r="I249" s="49"/>
      <c r="J249" s="49"/>
    </row>
    <row r="250" spans="1:10" s="14" customFormat="1" ht="5.25" customHeight="1" outlineLevel="1" x14ac:dyDescent="0.25"/>
    <row r="251" spans="1:10" s="14" customFormat="1" outlineLevel="1" x14ac:dyDescent="0.25">
      <c r="B251" s="27" t="s">
        <v>26</v>
      </c>
    </row>
    <row r="252" spans="1:10" s="14" customFormat="1" outlineLevel="1" x14ac:dyDescent="0.25">
      <c r="B252" s="14" t="s">
        <v>148</v>
      </c>
      <c r="F252" s="21">
        <f>E255</f>
        <v>1453.187484</v>
      </c>
      <c r="G252" s="21">
        <f t="shared" ref="G252:J252" si="120">F255</f>
        <v>1373.212650621718</v>
      </c>
      <c r="H252" s="21">
        <f t="shared" si="120"/>
        <v>1305.584809063241</v>
      </c>
      <c r="I252" s="21">
        <f t="shared" si="120"/>
        <v>1248.2730789289383</v>
      </c>
      <c r="J252" s="21">
        <f t="shared" si="120"/>
        <v>1199.7038161032581</v>
      </c>
    </row>
    <row r="253" spans="1:10" s="14" customFormat="1" outlineLevel="1" x14ac:dyDescent="0.25">
      <c r="B253" s="80" t="s">
        <v>149</v>
      </c>
      <c r="F253" s="21">
        <f>F166/F259</f>
        <v>0</v>
      </c>
      <c r="G253" s="21">
        <f t="shared" ref="G253:J253" si="121">G166/G259</f>
        <v>0</v>
      </c>
      <c r="H253" s="21">
        <f t="shared" si="121"/>
        <v>0</v>
      </c>
      <c r="I253" s="21">
        <f t="shared" si="121"/>
        <v>0</v>
      </c>
      <c r="J253" s="21">
        <f t="shared" si="121"/>
        <v>0</v>
      </c>
    </row>
    <row r="254" spans="1:10" s="14" customFormat="1" outlineLevel="1" x14ac:dyDescent="0.25">
      <c r="B254" s="80" t="s">
        <v>150</v>
      </c>
      <c r="F254" s="21">
        <f>F175/F259</f>
        <v>-79.974833378282099</v>
      </c>
      <c r="G254" s="21">
        <f t="shared" ref="G254:J254" si="122">G175/G259</f>
        <v>-67.62784155847713</v>
      </c>
      <c r="H254" s="21">
        <f t="shared" si="122"/>
        <v>-57.311730134302664</v>
      </c>
      <c r="I254" s="21">
        <f t="shared" si="122"/>
        <v>-48.569262825680227</v>
      </c>
      <c r="J254" s="21">
        <f t="shared" si="122"/>
        <v>-41.160392225152741</v>
      </c>
    </row>
    <row r="255" spans="1:10" s="14" customFormat="1" outlineLevel="1" x14ac:dyDescent="0.25">
      <c r="B255" s="19" t="s">
        <v>77</v>
      </c>
      <c r="C255" s="19"/>
      <c r="D255" s="19"/>
      <c r="E255" s="81">
        <v>1453.187484</v>
      </c>
      <c r="F255" s="53">
        <f>SUM(F252:F254)</f>
        <v>1373.212650621718</v>
      </c>
      <c r="G255" s="53">
        <f t="shared" ref="G255:J255" si="123">SUM(G252:G254)</f>
        <v>1305.584809063241</v>
      </c>
      <c r="H255" s="53">
        <f t="shared" si="123"/>
        <v>1248.2730789289383</v>
      </c>
      <c r="I255" s="53">
        <f t="shared" si="123"/>
        <v>1199.7038161032581</v>
      </c>
      <c r="J255" s="53">
        <f t="shared" si="123"/>
        <v>1158.5434238781054</v>
      </c>
    </row>
    <row r="256" spans="1:10" s="14" customFormat="1" ht="5.25" customHeight="1" outlineLevel="1" x14ac:dyDescent="0.25"/>
    <row r="257" spans="2:10" s="14" customFormat="1" outlineLevel="1" x14ac:dyDescent="0.25">
      <c r="B257" s="14" t="s">
        <v>151</v>
      </c>
      <c r="C257" s="25">
        <f>C35</f>
        <v>1.4841363102232668</v>
      </c>
      <c r="D257" s="25">
        <f>D35</f>
        <v>3.2600979192166464</v>
      </c>
      <c r="E257" s="25">
        <f>E35</f>
        <v>2.068241469816273</v>
      </c>
      <c r="F257" s="84">
        <v>2.41</v>
      </c>
      <c r="G257" s="84">
        <v>2.85</v>
      </c>
      <c r="H257" s="84">
        <f>G257*(1+H258)</f>
        <v>3.363</v>
      </c>
      <c r="I257" s="84">
        <f>H257*(1+I258)</f>
        <v>3.96834</v>
      </c>
      <c r="J257" s="84">
        <f>I257*(1+J258)</f>
        <v>4.6826411999999999</v>
      </c>
    </row>
    <row r="258" spans="2:10" s="14" customFormat="1" outlineLevel="1" x14ac:dyDescent="0.25">
      <c r="B258" s="14" t="s">
        <v>152</v>
      </c>
      <c r="D258" s="28">
        <f>D257/C257-1</f>
        <v>1.1966297143732114</v>
      </c>
      <c r="E258" s="28">
        <f>E257/D257-1</f>
        <v>-0.36558915680874982</v>
      </c>
      <c r="F258" s="28">
        <f>F257/E257-1</f>
        <v>0.16524111675126907</v>
      </c>
      <c r="G258" s="28">
        <f>G257/F257-1</f>
        <v>0.18257261410788383</v>
      </c>
      <c r="H258" s="29">
        <v>0.18</v>
      </c>
      <c r="I258" s="29">
        <v>0.18</v>
      </c>
      <c r="J258" s="29">
        <v>0.18</v>
      </c>
    </row>
    <row r="259" spans="2:10" s="14" customFormat="1" outlineLevel="1" x14ac:dyDescent="0.25">
      <c r="B259" s="14" t="s">
        <v>153</v>
      </c>
      <c r="E259" s="83">
        <f>C6</f>
        <v>13.95</v>
      </c>
      <c r="F259" s="82">
        <f>E259*(1+F258)</f>
        <v>16.255113578680202</v>
      </c>
      <c r="G259" s="82">
        <f t="shared" ref="G259:J259" si="124">F259*(1+G258)</f>
        <v>19.222852157360407</v>
      </c>
      <c r="H259" s="82">
        <f t="shared" si="124"/>
        <v>22.682965545685278</v>
      </c>
      <c r="I259" s="82">
        <f t="shared" si="124"/>
        <v>26.765899343908625</v>
      </c>
      <c r="J259" s="82">
        <f t="shared" si="124"/>
        <v>31.583761225812175</v>
      </c>
    </row>
  </sheetData>
  <sheetProtection algorithmName="SHA-512" hashValue="Sbl/i5jF28wQohg8A2aMd9Jiw74mLy24tRsOK4C6wW+k6COXCIFwDhCqEdqcuHqP620KcouG0H3t/dtvzJ3jDQ==" saltValue="ypKKoSZ4EHi5+QmKb44bqw==" spinCount="100000" sheet="1" objects="1" scenarios="1"/>
  <mergeCells count="2">
    <mergeCell ref="C1:E1"/>
    <mergeCell ref="F1:J1"/>
  </mergeCells>
  <dataValidations count="1">
    <dataValidation type="list" allowBlank="1" showInputMessage="1" showErrorMessage="1" sqref="C10" xr:uid="{BF59A6E4-8938-45DB-BDF9-ECB97F79FB7B}">
      <formula1>"ON,OFF"</formula1>
    </dataValidation>
  </dataValidation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7E1E4F3A-3477-4DB5-9A4E-766E4D38DB19}">
          <x14:formula1>
            <xm:f>SCENARIO!$B$11:$B$13</xm:f>
          </x14:formula1>
          <xm:sqref>C9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6E945C-1AC2-4CC0-8B22-205DB6F3A4F0}">
  <dimension ref="A1:J94"/>
  <sheetViews>
    <sheetView zoomScale="140" zoomScaleNormal="140" workbookViewId="0">
      <selection activeCell="N85" sqref="N85"/>
    </sheetView>
  </sheetViews>
  <sheetFormatPr defaultRowHeight="15" outlineLevelRow="1" x14ac:dyDescent="0.25"/>
  <cols>
    <col min="1" max="1" width="1.7109375" style="14" customWidth="1"/>
    <col min="2" max="2" width="47.85546875" style="14" bestFit="1" customWidth="1"/>
    <col min="3" max="10" width="13.7109375" style="14" customWidth="1"/>
    <col min="11" max="16384" width="9.140625" style="14"/>
  </cols>
  <sheetData>
    <row r="1" spans="1:10" x14ac:dyDescent="0.25">
      <c r="A1" s="2"/>
      <c r="B1" s="3" t="s">
        <v>351</v>
      </c>
      <c r="C1" s="192" t="s">
        <v>7</v>
      </c>
      <c r="D1" s="192"/>
      <c r="E1" s="192"/>
      <c r="F1" s="191" t="s">
        <v>8</v>
      </c>
      <c r="G1" s="191"/>
      <c r="H1" s="191"/>
      <c r="I1" s="191"/>
      <c r="J1" s="191"/>
    </row>
    <row r="2" spans="1:10" ht="28.5" x14ac:dyDescent="0.45">
      <c r="A2" s="2"/>
      <c r="B2" s="4" t="s">
        <v>155</v>
      </c>
      <c r="C2" s="77">
        <v>2017</v>
      </c>
      <c r="D2" s="77">
        <v>2018</v>
      </c>
      <c r="E2" s="77">
        <v>2019</v>
      </c>
      <c r="F2" s="78">
        <v>2020</v>
      </c>
      <c r="G2" s="78">
        <v>2021</v>
      </c>
      <c r="H2" s="78">
        <v>2022</v>
      </c>
      <c r="I2" s="78">
        <v>2023</v>
      </c>
      <c r="J2" s="78">
        <v>2024</v>
      </c>
    </row>
    <row r="3" spans="1:10" ht="5.25" customHeight="1" x14ac:dyDescent="0.25"/>
    <row r="4" spans="1:10" x14ac:dyDescent="0.25">
      <c r="B4" s="27" t="s">
        <v>156</v>
      </c>
    </row>
    <row r="5" spans="1:10" x14ac:dyDescent="0.25">
      <c r="B5" s="14" t="s">
        <v>2</v>
      </c>
      <c r="C5" s="86">
        <f>'HP FSM'!C6</f>
        <v>13.95</v>
      </c>
    </row>
    <row r="6" spans="1:10" x14ac:dyDescent="0.25">
      <c r="B6" s="14" t="s">
        <v>3</v>
      </c>
      <c r="C6" s="87">
        <f>'HP FSM'!C7</f>
        <v>43910</v>
      </c>
    </row>
    <row r="7" spans="1:10" x14ac:dyDescent="0.25">
      <c r="B7" s="14" t="s">
        <v>157</v>
      </c>
      <c r="C7" s="22">
        <v>1515</v>
      </c>
    </row>
    <row r="8" spans="1:10" x14ac:dyDescent="0.25">
      <c r="B8" s="14" t="s">
        <v>158</v>
      </c>
      <c r="C8" s="29">
        <f>D94</f>
        <v>7.2886172428310789E-2</v>
      </c>
    </row>
    <row r="9" spans="1:10" ht="5.25" customHeight="1" x14ac:dyDescent="0.25">
      <c r="C9" s="88">
        <f>EOMONTH(D9,-12)</f>
        <v>43008</v>
      </c>
      <c r="D9" s="88">
        <f>EOMONTH(E9,-12)</f>
        <v>43373</v>
      </c>
      <c r="E9" s="88">
        <v>43736</v>
      </c>
      <c r="F9" s="88">
        <f>EOMONTH(E9,12)</f>
        <v>44104</v>
      </c>
      <c r="G9" s="88">
        <f>EOMONTH(F9,12)</f>
        <v>44469</v>
      </c>
      <c r="H9" s="88">
        <f>EOMONTH(G9,12)</f>
        <v>44834</v>
      </c>
      <c r="I9" s="88">
        <f>EOMONTH(H9,12)</f>
        <v>45199</v>
      </c>
      <c r="J9" s="88">
        <f>EOMONTH(I9,12)</f>
        <v>45565</v>
      </c>
    </row>
    <row r="10" spans="1:10" ht="28.5" x14ac:dyDescent="0.45">
      <c r="A10" s="13" t="s">
        <v>12</v>
      </c>
      <c r="B10" s="4" t="s">
        <v>159</v>
      </c>
      <c r="C10" s="2"/>
      <c r="D10" s="2"/>
      <c r="E10" s="2"/>
      <c r="F10" s="2"/>
      <c r="G10" s="2"/>
      <c r="H10" s="2"/>
      <c r="I10" s="2"/>
      <c r="J10" s="2"/>
    </row>
    <row r="11" spans="1:10" ht="5.25" customHeight="1" x14ac:dyDescent="0.25"/>
    <row r="12" spans="1:10" x14ac:dyDescent="0.25">
      <c r="B12" s="14" t="s">
        <v>40</v>
      </c>
      <c r="C12" s="89">
        <f>'HP FSM'!C47</f>
        <v>3875</v>
      </c>
      <c r="D12" s="89">
        <f>'HP FSM'!D47</f>
        <v>4568</v>
      </c>
      <c r="E12" s="89">
        <f>'HP FSM'!E47</f>
        <v>4871</v>
      </c>
      <c r="F12" s="89">
        <f ca="1">'HP FSM'!F47</f>
        <v>4888.6344787000016</v>
      </c>
      <c r="G12" s="89">
        <f ca="1">'HP FSM'!G47</f>
        <v>5359.7564474174978</v>
      </c>
      <c r="H12" s="89">
        <f ca="1">'HP FSM'!H47</f>
        <v>5621.9442697883733</v>
      </c>
      <c r="I12" s="89">
        <f ca="1">'HP FSM'!I47</f>
        <v>5782.0744734116997</v>
      </c>
      <c r="J12" s="89">
        <f ca="1">'HP FSM'!J47</f>
        <v>6093.0913468982699</v>
      </c>
    </row>
    <row r="13" spans="1:10" x14ac:dyDescent="0.25">
      <c r="B13" s="14" t="s">
        <v>160</v>
      </c>
      <c r="C13" s="89">
        <f>'HP FSM'!C20</f>
        <v>3368</v>
      </c>
      <c r="D13" s="89">
        <f>'HP FSM'!D20</f>
        <v>3831</v>
      </c>
      <c r="E13" s="89">
        <f>'HP FSM'!E20</f>
        <v>3877</v>
      </c>
      <c r="F13" s="89">
        <f ca="1">'HP FSM'!F20</f>
        <v>3857.3314000000009</v>
      </c>
      <c r="G13" s="89">
        <f ca="1">'HP FSM'!G20</f>
        <v>3953.7646849999983</v>
      </c>
      <c r="H13" s="89">
        <f ca="1">'HP FSM'!H20</f>
        <v>4151.4529192499995</v>
      </c>
      <c r="I13" s="89">
        <f ca="1">'HP FSM'!I20</f>
        <v>4359.0255652125006</v>
      </c>
      <c r="J13" s="89">
        <f ca="1">'HP FSM'!J20</f>
        <v>4576.976843473125</v>
      </c>
    </row>
    <row r="14" spans="1:10" s="42" customFormat="1" x14ac:dyDescent="0.25">
      <c r="B14" s="42" t="s">
        <v>36</v>
      </c>
      <c r="C14" s="90">
        <f>'HP FSM'!C42</f>
        <v>0.22893772893772893</v>
      </c>
      <c r="D14" s="90">
        <f>'HP FSM'!D42</f>
        <v>0.76800531032193831</v>
      </c>
      <c r="E14" s="90">
        <f>'HP FSM'!E42</f>
        <v>0.24930638129211258</v>
      </c>
      <c r="F14" s="90">
        <f>'HP FSM'!F42</f>
        <v>0.25</v>
      </c>
      <c r="G14" s="90">
        <f>'HP FSM'!G42</f>
        <v>0.22</v>
      </c>
      <c r="H14" s="90">
        <f>'HP FSM'!H42</f>
        <v>0.2</v>
      </c>
      <c r="I14" s="90">
        <f>'HP FSM'!I42</f>
        <v>0.2</v>
      </c>
      <c r="J14" s="90">
        <f>'HP FSM'!J42</f>
        <v>0.2</v>
      </c>
    </row>
    <row r="15" spans="1:10" x14ac:dyDescent="0.25">
      <c r="B15" s="19" t="s">
        <v>161</v>
      </c>
      <c r="C15" s="20">
        <f>C13*(1-C14)</f>
        <v>2596.9377289377289</v>
      </c>
      <c r="D15" s="20">
        <f t="shared" ref="D15:J15" si="0">D13*(1-D14)</f>
        <v>888.77165615665433</v>
      </c>
      <c r="E15" s="20">
        <f t="shared" si="0"/>
        <v>2910.4391597304793</v>
      </c>
      <c r="F15" s="20">
        <f t="shared" ca="1" si="0"/>
        <v>2892.9985500000007</v>
      </c>
      <c r="G15" s="20">
        <f t="shared" ca="1" si="0"/>
        <v>3083.9364542999988</v>
      </c>
      <c r="H15" s="20">
        <f t="shared" ca="1" si="0"/>
        <v>3321.1623353999998</v>
      </c>
      <c r="I15" s="20">
        <f t="shared" ca="1" si="0"/>
        <v>3487.2204521700005</v>
      </c>
      <c r="J15" s="20">
        <f t="shared" ca="1" si="0"/>
        <v>3661.5814747785003</v>
      </c>
    </row>
    <row r="16" spans="1:10" ht="5.25" customHeight="1" x14ac:dyDescent="0.25"/>
    <row r="17" spans="2:10" x14ac:dyDescent="0.25">
      <c r="B17" s="1" t="s">
        <v>38</v>
      </c>
      <c r="F17" s="89">
        <f ca="1">'HP FSM'!F197</f>
        <v>781.61505</v>
      </c>
      <c r="G17" s="89">
        <f ca="1">'HP FSM'!G197</f>
        <v>1150.0615329999998</v>
      </c>
      <c r="H17" s="89">
        <f ca="1">'HP FSM'!H197</f>
        <v>1201.7646096499998</v>
      </c>
      <c r="I17" s="89">
        <f ca="1">'HP FSM'!I197</f>
        <v>1140.8858302664062</v>
      </c>
      <c r="J17" s="89">
        <f ca="1">'HP FSM'!J197</f>
        <v>1219.8432715957113</v>
      </c>
    </row>
    <row r="18" spans="2:10" x14ac:dyDescent="0.25">
      <c r="B18" s="1" t="s">
        <v>39</v>
      </c>
      <c r="F18" s="89">
        <f ca="1">'HP FSM'!F198</f>
        <v>249.68802869999996</v>
      </c>
      <c r="G18" s="89">
        <f ca="1">'HP FSM'!G198</f>
        <v>255.93022941749993</v>
      </c>
      <c r="H18" s="89">
        <f ca="1">'HP FSM'!H198</f>
        <v>268.72674088837493</v>
      </c>
      <c r="I18" s="89">
        <f ca="1">'HP FSM'!I198</f>
        <v>282.16307793279373</v>
      </c>
      <c r="J18" s="89">
        <f ca="1">'HP FSM'!J198</f>
        <v>296.27123182943348</v>
      </c>
    </row>
    <row r="19" spans="2:10" x14ac:dyDescent="0.25">
      <c r="B19" s="1" t="s">
        <v>43</v>
      </c>
      <c r="F19" s="89">
        <f ca="1">'HP FSM'!F199</f>
        <v>-496.79159999999956</v>
      </c>
      <c r="G19" s="89">
        <f ca="1">'HP FSM'!G199</f>
        <v>-163.19478999999956</v>
      </c>
      <c r="H19" s="89">
        <f ca="1">'HP FSM'!H199</f>
        <v>-334.54931949999991</v>
      </c>
      <c r="I19" s="89">
        <f ca="1">'HP FSM'!I199</f>
        <v>-351.27678547500091</v>
      </c>
      <c r="J19" s="89">
        <f ca="1">'HP FSM'!J199</f>
        <v>-368.840624748751</v>
      </c>
    </row>
    <row r="20" spans="2:10" x14ac:dyDescent="0.25">
      <c r="B20" s="1" t="s">
        <v>44</v>
      </c>
      <c r="F20" s="89">
        <f ca="1">'HP FSM'!F200</f>
        <v>-69.800167999998848</v>
      </c>
      <c r="G20" s="89">
        <f ca="1">'HP FSM'!G200</f>
        <v>-145.09500419999949</v>
      </c>
      <c r="H20" s="89">
        <f ca="1">'HP FSM'!H200</f>
        <v>-297.44475861000046</v>
      </c>
      <c r="I20" s="89">
        <f ca="1">'HP FSM'!I200</f>
        <v>-312.31699654050135</v>
      </c>
      <c r="J20" s="89">
        <f ca="1">'HP FSM'!J200</f>
        <v>-327.93284636752469</v>
      </c>
    </row>
    <row r="21" spans="2:10" x14ac:dyDescent="0.25">
      <c r="B21" s="1" t="s">
        <v>47</v>
      </c>
      <c r="F21" s="89">
        <f ca="1">'HP FSM'!F201</f>
        <v>326.80044799999814</v>
      </c>
      <c r="G21" s="89">
        <f ca="1">'HP FSM'!G201</f>
        <v>386.92001119999986</v>
      </c>
      <c r="H21" s="89">
        <f ca="1">'HP FSM'!H201</f>
        <v>793.18602295999881</v>
      </c>
      <c r="I21" s="89">
        <f ca="1">'HP FSM'!I201</f>
        <v>832.84532410800239</v>
      </c>
      <c r="J21" s="89">
        <f ca="1">'HP FSM'!J201</f>
        <v>874.4875903134016</v>
      </c>
    </row>
    <row r="22" spans="2:10" x14ac:dyDescent="0.25">
      <c r="B22" s="1" t="s">
        <v>67</v>
      </c>
      <c r="F22" s="89">
        <f>'HP FSM'!F202</f>
        <v>0</v>
      </c>
      <c r="G22" s="89">
        <f>'HP FSM'!G202</f>
        <v>0</v>
      </c>
      <c r="H22" s="89">
        <f>'HP FSM'!H202</f>
        <v>0</v>
      </c>
      <c r="I22" s="89">
        <f>'HP FSM'!I202</f>
        <v>0</v>
      </c>
      <c r="J22" s="89">
        <f>'HP FSM'!J202</f>
        <v>0</v>
      </c>
    </row>
    <row r="23" spans="2:10" x14ac:dyDescent="0.25">
      <c r="B23" s="1" t="s">
        <v>123</v>
      </c>
      <c r="F23" s="89">
        <f>'HP FSM'!F203</f>
        <v>0</v>
      </c>
      <c r="G23" s="89">
        <f>'HP FSM'!G203</f>
        <v>0</v>
      </c>
      <c r="H23" s="89">
        <f>'HP FSM'!H203</f>
        <v>0</v>
      </c>
      <c r="I23" s="89">
        <f>'HP FSM'!I203</f>
        <v>0</v>
      </c>
      <c r="J23" s="89">
        <f>'HP FSM'!J203</f>
        <v>0</v>
      </c>
    </row>
    <row r="24" spans="2:10" x14ac:dyDescent="0.25">
      <c r="B24" s="1" t="s">
        <v>97</v>
      </c>
      <c r="F24" s="89">
        <f>'HP FSM'!F204</f>
        <v>225</v>
      </c>
      <c r="G24" s="89">
        <f>'HP FSM'!G204</f>
        <v>225</v>
      </c>
      <c r="H24" s="89">
        <f>'HP FSM'!H204</f>
        <v>225</v>
      </c>
      <c r="I24" s="89">
        <f>'HP FSM'!I204</f>
        <v>225</v>
      </c>
      <c r="J24" s="89">
        <f>'HP FSM'!J204</f>
        <v>225</v>
      </c>
    </row>
    <row r="25" spans="2:10" x14ac:dyDescent="0.25">
      <c r="B25" s="1" t="s">
        <v>124</v>
      </c>
      <c r="F25" s="89">
        <f>'HP FSM'!F205</f>
        <v>0</v>
      </c>
      <c r="G25" s="89">
        <f>'HP FSM'!G205</f>
        <v>51.899999999999991</v>
      </c>
      <c r="H25" s="89">
        <f>'HP FSM'!H205</f>
        <v>18.449999999999996</v>
      </c>
      <c r="I25" s="89">
        <f>'HP FSM'!I205</f>
        <v>14.399999999999997</v>
      </c>
      <c r="J25" s="89">
        <f>'HP FSM'!J205</f>
        <v>14.399999999999997</v>
      </c>
    </row>
    <row r="26" spans="2:10" x14ac:dyDescent="0.25">
      <c r="B26" s="19" t="s">
        <v>162</v>
      </c>
      <c r="C26" s="19"/>
      <c r="D26" s="19"/>
      <c r="E26" s="19"/>
      <c r="F26" s="20">
        <f ca="1">F15+SUM(F17:F25)</f>
        <v>3909.5103087000007</v>
      </c>
      <c r="G26" s="20">
        <f t="shared" ref="G26:J26" ca="1" si="1">G15+SUM(G17:G25)</f>
        <v>4845.4584337174992</v>
      </c>
      <c r="H26" s="20">
        <f t="shared" ca="1" si="1"/>
        <v>5196.2956307883733</v>
      </c>
      <c r="I26" s="20">
        <f t="shared" ca="1" si="1"/>
        <v>5318.9209024617012</v>
      </c>
      <c r="J26" s="20">
        <f t="shared" ca="1" si="1"/>
        <v>5594.8100974007712</v>
      </c>
    </row>
    <row r="27" spans="2:10" ht="5.25" customHeight="1" x14ac:dyDescent="0.25"/>
    <row r="28" spans="2:10" x14ac:dyDescent="0.25">
      <c r="B28" s="14" t="s">
        <v>163</v>
      </c>
      <c r="F28" s="89">
        <f ca="1">'HP FSM'!F208</f>
        <v>-741.79449999999997</v>
      </c>
      <c r="G28" s="89">
        <f ca="1">'HP FSM'!G208</f>
        <v>-1216.5429799999999</v>
      </c>
      <c r="H28" s="89">
        <f ca="1">'HP FSM'!H208</f>
        <v>-1277.3701289999999</v>
      </c>
      <c r="I28" s="89">
        <f ca="1">'HP FSM'!I208</f>
        <v>-1173.58380601875</v>
      </c>
      <c r="J28" s="89">
        <f ca="1">'HP FSM'!J208</f>
        <v>-1232.2629963196878</v>
      </c>
    </row>
    <row r="29" spans="2:10" x14ac:dyDescent="0.25">
      <c r="B29" s="14" t="s">
        <v>168</v>
      </c>
      <c r="F29" s="89">
        <f>'HP FSM'!F209</f>
        <v>0</v>
      </c>
      <c r="G29" s="89">
        <f>'HP FSM'!G209</f>
        <v>0</v>
      </c>
      <c r="H29" s="89">
        <f>'HP FSM'!H209</f>
        <v>0</v>
      </c>
      <c r="I29" s="89">
        <f>'HP FSM'!I209</f>
        <v>0</v>
      </c>
      <c r="J29" s="89">
        <f>'HP FSM'!J209</f>
        <v>0</v>
      </c>
    </row>
    <row r="30" spans="2:10" x14ac:dyDescent="0.25">
      <c r="B30" s="19" t="s">
        <v>164</v>
      </c>
      <c r="C30" s="19"/>
      <c r="D30" s="19"/>
      <c r="E30" s="19"/>
      <c r="F30" s="20">
        <f ca="1">F26+SUM(F28:F29)</f>
        <v>3167.7158087000007</v>
      </c>
      <c r="G30" s="20">
        <f t="shared" ref="G30:J30" ca="1" si="2">G26+SUM(G28:G29)</f>
        <v>3628.9154537174991</v>
      </c>
      <c r="H30" s="20">
        <f t="shared" ca="1" si="2"/>
        <v>3918.9255017883734</v>
      </c>
      <c r="I30" s="20">
        <f t="shared" ca="1" si="2"/>
        <v>4145.3370964429514</v>
      </c>
      <c r="J30" s="20">
        <f t="shared" ca="1" si="2"/>
        <v>4362.5471010810834</v>
      </c>
    </row>
    <row r="31" spans="2:10" ht="5.25" customHeight="1" x14ac:dyDescent="0.25"/>
    <row r="32" spans="2:10" x14ac:dyDescent="0.25">
      <c r="B32" s="42" t="s">
        <v>165</v>
      </c>
      <c r="C32" s="42"/>
      <c r="D32" s="42"/>
      <c r="E32" s="42"/>
      <c r="F32" s="42"/>
      <c r="G32" s="91">
        <f ca="1">G30/F30-1</f>
        <v>0.14559375678551478</v>
      </c>
      <c r="H32" s="91">
        <f t="shared" ref="H32:J32" ca="1" si="3">H30/G30-1</f>
        <v>7.9916452110722291E-2</v>
      </c>
      <c r="I32" s="91">
        <f t="shared" ca="1" si="3"/>
        <v>5.7773896072088382E-2</v>
      </c>
      <c r="J32" s="91">
        <f t="shared" ca="1" si="3"/>
        <v>5.2398634799692534E-2</v>
      </c>
    </row>
    <row r="33" spans="1:10" ht="5.25" customHeight="1" x14ac:dyDescent="0.25"/>
    <row r="34" spans="1:10" x14ac:dyDescent="0.25">
      <c r="B34" s="42" t="s">
        <v>166</v>
      </c>
      <c r="F34" s="91">
        <f>YEARFRAC($C$6,F9)</f>
        <v>0.52777777777777779</v>
      </c>
      <c r="G34" s="91">
        <f t="shared" ref="G34:J34" si="4">YEARFRAC($C$6,G9)</f>
        <v>1.5277777777777777</v>
      </c>
      <c r="H34" s="91">
        <f t="shared" si="4"/>
        <v>2.5277777777777777</v>
      </c>
      <c r="I34" s="91">
        <f t="shared" si="4"/>
        <v>3.5277777777777777</v>
      </c>
      <c r="J34" s="91">
        <f t="shared" si="4"/>
        <v>4.5277777777777777</v>
      </c>
    </row>
    <row r="35" spans="1:10" x14ac:dyDescent="0.25">
      <c r="B35" s="19" t="s">
        <v>167</v>
      </c>
      <c r="C35" s="19"/>
      <c r="D35" s="19"/>
      <c r="E35" s="19"/>
      <c r="F35" s="20">
        <f ca="1">F30/(1+$C$8)^F34</f>
        <v>3052.2540277937101</v>
      </c>
      <c r="G35" s="20">
        <f t="shared" ref="G35:J35" ca="1" si="5">G30/(1+$C$8)^G34</f>
        <v>3259.0998450933598</v>
      </c>
      <c r="H35" s="20">
        <f t="shared" ca="1" si="5"/>
        <v>3280.4556832174098</v>
      </c>
      <c r="I35" s="20">
        <f t="shared" ca="1" si="5"/>
        <v>3234.2484022092895</v>
      </c>
      <c r="J35" s="20">
        <f t="shared" ca="1" si="5"/>
        <v>3172.4880891924968</v>
      </c>
    </row>
    <row r="36" spans="1:10" ht="5.25" customHeight="1" x14ac:dyDescent="0.25"/>
    <row r="37" spans="1:10" ht="28.5" x14ac:dyDescent="0.45">
      <c r="A37" s="13" t="s">
        <v>12</v>
      </c>
      <c r="B37" s="4" t="s">
        <v>169</v>
      </c>
      <c r="C37" s="2"/>
      <c r="D37" s="2"/>
      <c r="E37" s="2"/>
      <c r="F37" s="2"/>
      <c r="G37" s="2"/>
      <c r="H37" s="2"/>
      <c r="I37" s="2"/>
      <c r="J37" s="2"/>
    </row>
    <row r="38" spans="1:10" ht="5.25" customHeight="1" x14ac:dyDescent="0.25"/>
    <row r="39" spans="1:10" x14ac:dyDescent="0.25">
      <c r="B39" s="27" t="s">
        <v>170</v>
      </c>
      <c r="E39" s="27" t="s">
        <v>171</v>
      </c>
    </row>
    <row r="40" spans="1:10" x14ac:dyDescent="0.25">
      <c r="B40" s="14" t="s">
        <v>172</v>
      </c>
      <c r="C40" s="18">
        <f ca="1">J30</f>
        <v>4362.5471010810834</v>
      </c>
      <c r="E40" s="14" t="s">
        <v>173</v>
      </c>
      <c r="H40" s="18">
        <f ca="1">J12</f>
        <v>6093.0913468982699</v>
      </c>
    </row>
    <row r="41" spans="1:10" x14ac:dyDescent="0.25">
      <c r="B41" s="14" t="s">
        <v>174</v>
      </c>
      <c r="C41" s="18">
        <f ca="1">C40*(1+C42)</f>
        <v>4493.4235141135159</v>
      </c>
      <c r="E41" s="14" t="s">
        <v>175</v>
      </c>
      <c r="H41" s="92">
        <v>10.45</v>
      </c>
    </row>
    <row r="42" spans="1:10" x14ac:dyDescent="0.25">
      <c r="B42" s="14" t="s">
        <v>176</v>
      </c>
      <c r="C42" s="31">
        <v>0.03</v>
      </c>
      <c r="E42" s="14" t="s">
        <v>177</v>
      </c>
      <c r="H42" s="18">
        <f ca="1">H41*H40</f>
        <v>63672.804575086913</v>
      </c>
    </row>
    <row r="43" spans="1:10" x14ac:dyDescent="0.25">
      <c r="B43" s="14" t="s">
        <v>177</v>
      </c>
      <c r="C43" s="18">
        <f ca="1">C41/(C8-C42)</f>
        <v>104775.57822687009</v>
      </c>
      <c r="E43" s="14" t="s">
        <v>178</v>
      </c>
      <c r="H43" s="18">
        <f ca="1">H42/(C8+1)^J34</f>
        <v>46303.50330656299</v>
      </c>
    </row>
    <row r="44" spans="1:10" x14ac:dyDescent="0.25">
      <c r="B44" s="14" t="s">
        <v>178</v>
      </c>
      <c r="C44" s="18">
        <f ca="1">C43/(1+C8)^J34</f>
        <v>76193.853329544596</v>
      </c>
      <c r="E44" s="14" t="s">
        <v>179</v>
      </c>
      <c r="H44" s="18">
        <f ca="1">SUM(F35:J35)</f>
        <v>15998.546047506266</v>
      </c>
    </row>
    <row r="45" spans="1:10" x14ac:dyDescent="0.25">
      <c r="B45" s="14" t="s">
        <v>179</v>
      </c>
      <c r="C45" s="18">
        <f ca="1">SUM(F35:J35)</f>
        <v>15998.546047506266</v>
      </c>
      <c r="E45" s="19" t="s">
        <v>180</v>
      </c>
      <c r="F45" s="75"/>
      <c r="G45" s="75"/>
      <c r="H45" s="20">
        <f ca="1">SUM(H43:H44)</f>
        <v>62302.049354069255</v>
      </c>
    </row>
    <row r="46" spans="1:10" x14ac:dyDescent="0.25">
      <c r="B46" s="19" t="s">
        <v>180</v>
      </c>
      <c r="C46" s="20">
        <f ca="1">SUM(C44:C45)</f>
        <v>92192.399377050868</v>
      </c>
      <c r="E46" s="42" t="s">
        <v>181</v>
      </c>
      <c r="H46" s="93">
        <f ca="1">(C8-J30/H42)/(1+J30/H42)</f>
        <v>4.0908131628035662E-3</v>
      </c>
    </row>
    <row r="47" spans="1:10" x14ac:dyDescent="0.25">
      <c r="B47" s="42" t="s">
        <v>182</v>
      </c>
      <c r="C47" s="94">
        <f ca="1">C43/J13</f>
        <v>22.891874223983127</v>
      </c>
    </row>
    <row r="48" spans="1:10" ht="5.25" customHeight="1" x14ac:dyDescent="0.25"/>
    <row r="49" spans="1:10" ht="23.25" x14ac:dyDescent="0.35">
      <c r="A49" s="49"/>
      <c r="B49" s="50" t="s">
        <v>183</v>
      </c>
      <c r="C49" s="49"/>
      <c r="D49" s="49"/>
      <c r="E49" s="49"/>
      <c r="F49" s="49"/>
      <c r="G49" s="49"/>
      <c r="H49" s="49"/>
      <c r="I49" s="49"/>
      <c r="J49" s="49"/>
    </row>
    <row r="50" spans="1:10" ht="5.25" customHeight="1" outlineLevel="1" x14ac:dyDescent="0.25"/>
    <row r="51" spans="1:10" outlineLevel="1" x14ac:dyDescent="0.25">
      <c r="B51" s="14" t="s">
        <v>184</v>
      </c>
      <c r="C51" s="22">
        <f>'HP FSM'!E52</f>
        <v>4537</v>
      </c>
    </row>
    <row r="52" spans="1:10" outlineLevel="1" x14ac:dyDescent="0.25">
      <c r="B52" s="14" t="s">
        <v>185</v>
      </c>
      <c r="C52" s="22">
        <f>'HP FSM'!E64</f>
        <v>4780</v>
      </c>
    </row>
    <row r="53" spans="1:10" outlineLevel="1" x14ac:dyDescent="0.25">
      <c r="B53" s="14" t="s">
        <v>186</v>
      </c>
      <c r="C53" s="22">
        <v>929</v>
      </c>
    </row>
    <row r="54" spans="1:10" outlineLevel="1" x14ac:dyDescent="0.25">
      <c r="B54" s="19" t="s">
        <v>187</v>
      </c>
      <c r="C54" s="20">
        <f>C52-C51</f>
        <v>243</v>
      </c>
    </row>
    <row r="55" spans="1:10" ht="5.25" customHeight="1" outlineLevel="1" x14ac:dyDescent="0.25"/>
    <row r="56" spans="1:10" outlineLevel="1" x14ac:dyDescent="0.25">
      <c r="B56" s="14" t="s">
        <v>26</v>
      </c>
      <c r="C56" s="18">
        <f>C7</f>
        <v>1515</v>
      </c>
    </row>
    <row r="57" spans="1:10" outlineLevel="1" x14ac:dyDescent="0.25">
      <c r="B57" s="14" t="s">
        <v>188</v>
      </c>
      <c r="C57" s="22">
        <v>5</v>
      </c>
    </row>
    <row r="58" spans="1:10" outlineLevel="1" x14ac:dyDescent="0.25">
      <c r="B58" s="14" t="s">
        <v>189</v>
      </c>
      <c r="C58" s="15">
        <v>14</v>
      </c>
    </row>
    <row r="59" spans="1:10" outlineLevel="1" x14ac:dyDescent="0.25">
      <c r="B59" s="14" t="s">
        <v>190</v>
      </c>
      <c r="C59" s="18">
        <f>IF(C58&lt;C6,C57,0)</f>
        <v>5</v>
      </c>
    </row>
    <row r="60" spans="1:10" outlineLevel="1" x14ac:dyDescent="0.25">
      <c r="B60" s="14" t="s">
        <v>191</v>
      </c>
      <c r="C60" s="18">
        <f>C59*C58</f>
        <v>70</v>
      </c>
    </row>
    <row r="61" spans="1:10" outlineLevel="1" x14ac:dyDescent="0.25">
      <c r="B61" s="14" t="s">
        <v>192</v>
      </c>
      <c r="C61" s="18">
        <f>C60/C5</f>
        <v>5.0179211469534053</v>
      </c>
    </row>
    <row r="62" spans="1:10" outlineLevel="1" x14ac:dyDescent="0.25">
      <c r="B62" s="14" t="s">
        <v>193</v>
      </c>
      <c r="C62" s="18">
        <f>C59-C61</f>
        <v>-1.7921146953405298E-2</v>
      </c>
    </row>
    <row r="63" spans="1:10" outlineLevel="1" x14ac:dyDescent="0.25">
      <c r="B63" s="14" t="s">
        <v>194</v>
      </c>
      <c r="C63" s="22">
        <v>0</v>
      </c>
    </row>
    <row r="64" spans="1:10" outlineLevel="1" x14ac:dyDescent="0.25">
      <c r="B64" s="19" t="s">
        <v>195</v>
      </c>
      <c r="C64" s="53">
        <f>C63+C62+C56</f>
        <v>1514.9820788530467</v>
      </c>
    </row>
    <row r="65" spans="1:10" ht="5.25" customHeight="1" x14ac:dyDescent="0.25"/>
    <row r="66" spans="1:10" ht="28.5" x14ac:dyDescent="0.45">
      <c r="A66" s="13" t="s">
        <v>12</v>
      </c>
      <c r="B66" s="4" t="s">
        <v>196</v>
      </c>
      <c r="C66" s="2"/>
      <c r="D66" s="2"/>
      <c r="E66" s="2"/>
      <c r="F66" s="2"/>
      <c r="G66" s="2"/>
      <c r="H66" s="2"/>
      <c r="I66" s="2"/>
      <c r="J66" s="2"/>
    </row>
    <row r="67" spans="1:10" ht="5.25" customHeight="1" x14ac:dyDescent="0.25"/>
    <row r="68" spans="1:10" x14ac:dyDescent="0.25">
      <c r="C68" s="95" t="s">
        <v>197</v>
      </c>
      <c r="D68" s="95" t="s">
        <v>40</v>
      </c>
    </row>
    <row r="69" spans="1:10" x14ac:dyDescent="0.25">
      <c r="B69" s="14" t="s">
        <v>198</v>
      </c>
      <c r="C69" s="96">
        <f ca="1">C46</f>
        <v>92192.399377050868</v>
      </c>
      <c r="D69" s="97">
        <f ca="1">H45</f>
        <v>62302.049354069255</v>
      </c>
    </row>
    <row r="70" spans="1:10" x14ac:dyDescent="0.25">
      <c r="B70" s="14" t="s">
        <v>199</v>
      </c>
      <c r="C70" s="96">
        <f>-(C54)</f>
        <v>-243</v>
      </c>
      <c r="D70" s="96">
        <f>-(C54)</f>
        <v>-243</v>
      </c>
    </row>
    <row r="71" spans="1:10" x14ac:dyDescent="0.25">
      <c r="B71" s="14" t="s">
        <v>200</v>
      </c>
      <c r="C71" s="96">
        <f>-(C53)</f>
        <v>-929</v>
      </c>
      <c r="D71" s="98">
        <f>-(C53)</f>
        <v>-929</v>
      </c>
    </row>
    <row r="72" spans="1:10" x14ac:dyDescent="0.25">
      <c r="B72" s="19" t="s">
        <v>201</v>
      </c>
      <c r="C72" s="99">
        <f ca="1">C69+C70+C71</f>
        <v>91020.399377050868</v>
      </c>
      <c r="D72" s="99">
        <f ca="1">D69+D70+D71</f>
        <v>61130.049354069255</v>
      </c>
    </row>
    <row r="73" spans="1:10" ht="5.25" customHeight="1" x14ac:dyDescent="0.25">
      <c r="C73" s="100"/>
      <c r="D73" s="101"/>
    </row>
    <row r="74" spans="1:10" x14ac:dyDescent="0.25">
      <c r="B74" s="14" t="s">
        <v>202</v>
      </c>
      <c r="C74" s="96">
        <f>C64</f>
        <v>1514.9820788530467</v>
      </c>
      <c r="D74" s="98">
        <f>C64</f>
        <v>1514.9820788530467</v>
      </c>
    </row>
    <row r="75" spans="1:10" x14ac:dyDescent="0.25">
      <c r="B75" s="19" t="s">
        <v>203</v>
      </c>
      <c r="C75" s="102">
        <f ca="1">C72/C74</f>
        <v>60.080182232888212</v>
      </c>
      <c r="D75" s="102">
        <f ca="1">D72/D74</f>
        <v>40.350344870316363</v>
      </c>
    </row>
    <row r="76" spans="1:10" x14ac:dyDescent="0.25">
      <c r="B76" s="42" t="s">
        <v>204</v>
      </c>
      <c r="C76" s="103">
        <f ca="1">$C$5/C75-1</f>
        <v>-0.76781029148803592</v>
      </c>
      <c r="D76" s="104">
        <f ca="1">$C$5/D75-1</f>
        <v>-0.65427804781261523</v>
      </c>
    </row>
    <row r="77" spans="1:10" ht="5.25" customHeight="1" x14ac:dyDescent="0.25"/>
    <row r="78" spans="1:10" ht="28.5" x14ac:dyDescent="0.45">
      <c r="A78" s="13" t="s">
        <v>12</v>
      </c>
      <c r="B78" s="4" t="s">
        <v>205</v>
      </c>
      <c r="C78" s="2"/>
      <c r="D78" s="2"/>
      <c r="E78" s="2"/>
      <c r="F78" s="2"/>
      <c r="G78" s="2"/>
      <c r="H78" s="2"/>
      <c r="I78" s="2"/>
      <c r="J78" s="2"/>
    </row>
    <row r="79" spans="1:10" ht="5.25" customHeight="1" x14ac:dyDescent="0.25"/>
    <row r="80" spans="1:10" x14ac:dyDescent="0.25">
      <c r="B80" s="27" t="s">
        <v>206</v>
      </c>
    </row>
    <row r="81" spans="2:4" x14ac:dyDescent="0.25">
      <c r="B81" s="14" t="s">
        <v>207</v>
      </c>
      <c r="C81" s="31">
        <v>3.3500000000000002E-2</v>
      </c>
    </row>
    <row r="82" spans="2:4" x14ac:dyDescent="0.25">
      <c r="B82" s="14" t="s">
        <v>36</v>
      </c>
      <c r="C82" s="29">
        <f>J14</f>
        <v>0.2</v>
      </c>
    </row>
    <row r="83" spans="2:4" x14ac:dyDescent="0.25">
      <c r="B83" s="19" t="s">
        <v>208</v>
      </c>
      <c r="C83" s="105">
        <f>C81*(1+C82)</f>
        <v>4.02E-2</v>
      </c>
    </row>
    <row r="84" spans="2:4" ht="5.25" customHeight="1" x14ac:dyDescent="0.25"/>
    <row r="85" spans="2:4" x14ac:dyDescent="0.25">
      <c r="B85" s="27" t="s">
        <v>209</v>
      </c>
    </row>
    <row r="86" spans="2:4" x14ac:dyDescent="0.25">
      <c r="B86" s="14" t="s">
        <v>210</v>
      </c>
      <c r="C86" s="31">
        <v>1.1299999999999999E-2</v>
      </c>
    </row>
    <row r="87" spans="2:4" x14ac:dyDescent="0.25">
      <c r="B87" s="14" t="s">
        <v>211</v>
      </c>
      <c r="C87" s="61">
        <v>1.38</v>
      </c>
    </row>
    <row r="88" spans="2:4" x14ac:dyDescent="0.25">
      <c r="B88" s="14" t="s">
        <v>212</v>
      </c>
      <c r="C88" s="31">
        <v>4.4900000000000002E-2</v>
      </c>
    </row>
    <row r="89" spans="2:4" x14ac:dyDescent="0.25">
      <c r="B89" s="19" t="s">
        <v>213</v>
      </c>
      <c r="C89" s="105">
        <f>C86+C87*C88</f>
        <v>7.3261999999999994E-2</v>
      </c>
    </row>
    <row r="90" spans="2:4" ht="5.25" customHeight="1" x14ac:dyDescent="0.25"/>
    <row r="91" spans="2:4" x14ac:dyDescent="0.25">
      <c r="C91" s="95" t="s">
        <v>214</v>
      </c>
      <c r="D91" s="95" t="s">
        <v>215</v>
      </c>
    </row>
    <row r="92" spans="2:4" x14ac:dyDescent="0.25">
      <c r="B92" s="14" t="s">
        <v>216</v>
      </c>
      <c r="C92" s="18">
        <f>C5*C64</f>
        <v>21134</v>
      </c>
      <c r="D92" s="29">
        <f>1-D93</f>
        <v>0.98863264255976047</v>
      </c>
    </row>
    <row r="93" spans="2:4" x14ac:dyDescent="0.25">
      <c r="B93" s="14" t="s">
        <v>59</v>
      </c>
      <c r="C93" s="18">
        <f>C54</f>
        <v>243</v>
      </c>
      <c r="D93" s="29">
        <f>C93/(C93+C92)</f>
        <v>1.136735744023951E-2</v>
      </c>
    </row>
    <row r="94" spans="2:4" x14ac:dyDescent="0.25">
      <c r="B94" s="19" t="s">
        <v>217</v>
      </c>
      <c r="C94" s="75"/>
      <c r="D94" s="105">
        <f>C83*D93+C89*D92</f>
        <v>7.2886172428310789E-2</v>
      </c>
    </row>
  </sheetData>
  <sheetProtection algorithmName="SHA-512" hashValue="JD2G1WeB99fzFBZ1q3v0uk09LgNgNfCWRXkS8DeSbCI9WgAH3apkuf0GCjb1iDwr5F86bsQLd/coeC5rQ4Pa/g==" saltValue="7uI5WXxqi59vLS8WUzUCnA==" spinCount="100000" sheet="1" objects="1" scenarios="1"/>
  <mergeCells count="2">
    <mergeCell ref="C1:E1"/>
    <mergeCell ref="F1:J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CAECE6-DEE2-4C48-8F99-02DC8BDE7016}">
  <dimension ref="A1:K264"/>
  <sheetViews>
    <sheetView zoomScale="140" zoomScaleNormal="140" workbookViewId="0">
      <pane ySplit="2" topLeftCell="A3" activePane="bottomLeft" state="frozen"/>
      <selection pane="bottomLeft" activeCell="E7" sqref="E7"/>
    </sheetView>
  </sheetViews>
  <sheetFormatPr defaultRowHeight="15" outlineLevelRow="1" x14ac:dyDescent="0.25"/>
  <cols>
    <col min="1" max="1" width="1.7109375" style="1" customWidth="1"/>
    <col min="2" max="2" width="50.28515625" style="1" bestFit="1" customWidth="1"/>
    <col min="3" max="10" width="13.7109375" style="1" customWidth="1"/>
    <col min="11" max="16384" width="9.140625" style="1"/>
  </cols>
  <sheetData>
    <row r="1" spans="1:10" x14ac:dyDescent="0.25">
      <c r="A1" s="2"/>
      <c r="B1" s="3" t="s">
        <v>351</v>
      </c>
      <c r="C1" s="192" t="s">
        <v>7</v>
      </c>
      <c r="D1" s="192"/>
      <c r="E1" s="192"/>
      <c r="F1" s="191" t="s">
        <v>8</v>
      </c>
      <c r="G1" s="191"/>
      <c r="H1" s="191"/>
      <c r="I1" s="191"/>
      <c r="J1" s="191"/>
    </row>
    <row r="2" spans="1:10" ht="28.5" x14ac:dyDescent="0.45">
      <c r="A2" s="2"/>
      <c r="B2" s="4" t="str">
        <f>C4&amp;" Financial Statements"</f>
        <v>Xerox Financial Statements</v>
      </c>
      <c r="C2" s="5">
        <v>2017</v>
      </c>
      <c r="D2" s="5">
        <v>2018</v>
      </c>
      <c r="E2" s="5">
        <v>2019</v>
      </c>
      <c r="F2" s="6">
        <v>2020</v>
      </c>
      <c r="G2" s="6">
        <v>2021</v>
      </c>
      <c r="H2" s="6">
        <v>2022</v>
      </c>
      <c r="I2" s="6">
        <v>2023</v>
      </c>
      <c r="J2" s="6">
        <v>2024</v>
      </c>
    </row>
    <row r="3" spans="1:10" ht="5.25" customHeight="1" x14ac:dyDescent="0.25"/>
    <row r="4" spans="1:10" x14ac:dyDescent="0.25">
      <c r="B4" s="7" t="s">
        <v>0</v>
      </c>
      <c r="C4" s="8" t="s">
        <v>71</v>
      </c>
    </row>
    <row r="5" spans="1:10" x14ac:dyDescent="0.25">
      <c r="B5" s="7" t="s">
        <v>1</v>
      </c>
      <c r="C5" s="8" t="s">
        <v>72</v>
      </c>
    </row>
    <row r="6" spans="1:10" x14ac:dyDescent="0.25">
      <c r="B6" s="9" t="s">
        <v>2</v>
      </c>
      <c r="C6" s="10">
        <v>16.45</v>
      </c>
    </row>
    <row r="7" spans="1:10" x14ac:dyDescent="0.25">
      <c r="B7" s="7" t="s">
        <v>3</v>
      </c>
      <c r="C7" s="11">
        <v>43910</v>
      </c>
    </row>
    <row r="8" spans="1:10" x14ac:dyDescent="0.25">
      <c r="B8" s="7" t="s">
        <v>4</v>
      </c>
      <c r="C8" s="11">
        <v>43830</v>
      </c>
    </row>
    <row r="9" spans="1:10" x14ac:dyDescent="0.25">
      <c r="B9" s="1" t="s">
        <v>11</v>
      </c>
      <c r="C9" s="200" t="s">
        <v>222</v>
      </c>
    </row>
    <row r="10" spans="1:10" x14ac:dyDescent="0.25">
      <c r="B10" s="7" t="s">
        <v>10</v>
      </c>
      <c r="C10" s="12" t="s">
        <v>5</v>
      </c>
    </row>
    <row r="11" spans="1:10" ht="5.25" customHeight="1" x14ac:dyDescent="0.25"/>
    <row r="12" spans="1:10" ht="28.5" x14ac:dyDescent="0.45">
      <c r="A12" s="13" t="s">
        <v>12</v>
      </c>
      <c r="B12" s="4" t="s">
        <v>13</v>
      </c>
      <c r="C12" s="2"/>
      <c r="D12" s="2"/>
      <c r="E12" s="2"/>
      <c r="F12" s="2"/>
      <c r="G12" s="2"/>
      <c r="H12" s="2"/>
      <c r="I12" s="2"/>
      <c r="J12" s="2"/>
    </row>
    <row r="13" spans="1:10" ht="5.25" customHeight="1" x14ac:dyDescent="0.25">
      <c r="A13" s="14"/>
      <c r="B13" s="14"/>
      <c r="C13" s="14"/>
      <c r="D13" s="14"/>
      <c r="E13" s="14"/>
      <c r="F13" s="14"/>
      <c r="G13" s="14"/>
      <c r="H13" s="14"/>
      <c r="I13" s="14"/>
      <c r="J13" s="14"/>
    </row>
    <row r="14" spans="1:10" x14ac:dyDescent="0.25">
      <c r="A14" s="14"/>
      <c r="B14" s="14" t="s">
        <v>14</v>
      </c>
      <c r="C14" s="15">
        <v>9991</v>
      </c>
      <c r="D14" s="15">
        <v>9662</v>
      </c>
      <c r="E14" s="15">
        <v>9066</v>
      </c>
      <c r="F14" s="16">
        <f ca="1">E14*(1+F38)</f>
        <v>9156.66</v>
      </c>
      <c r="G14" s="16">
        <f t="shared" ref="G14:J14" ca="1" si="0">F14*(1+G38)</f>
        <v>9385.5764999999992</v>
      </c>
      <c r="H14" s="16">
        <f t="shared" ca="1" si="0"/>
        <v>9854.8553250000004</v>
      </c>
      <c r="I14" s="16">
        <f t="shared" ca="1" si="0"/>
        <v>10347.598091250002</v>
      </c>
      <c r="J14" s="16">
        <f t="shared" ca="1" si="0"/>
        <v>10864.977995812502</v>
      </c>
    </row>
    <row r="15" spans="1:10" x14ac:dyDescent="0.25">
      <c r="A15" s="14"/>
      <c r="B15" s="14" t="s">
        <v>15</v>
      </c>
      <c r="C15" s="17">
        <f>-(2133+3654+133)</f>
        <v>-5920</v>
      </c>
      <c r="D15" s="17">
        <f>-(2188+3473+132)</f>
        <v>-5793</v>
      </c>
      <c r="E15" s="17">
        <f>-(2097+3188+131)</f>
        <v>-5416</v>
      </c>
      <c r="F15" s="18">
        <f ca="1">F16-F14</f>
        <v>-5493.9959999999992</v>
      </c>
      <c r="G15" s="18">
        <f t="shared" ref="G15:J15" ca="1" si="1">G16-G14</f>
        <v>-5631.3458999999993</v>
      </c>
      <c r="H15" s="18">
        <f t="shared" ca="1" si="1"/>
        <v>-5912.9131950000001</v>
      </c>
      <c r="I15" s="18">
        <f t="shared" ca="1" si="1"/>
        <v>-6208.558854750001</v>
      </c>
      <c r="J15" s="18">
        <f t="shared" ca="1" si="1"/>
        <v>-6518.9867974875006</v>
      </c>
    </row>
    <row r="16" spans="1:10" x14ac:dyDescent="0.25">
      <c r="A16" s="14"/>
      <c r="B16" s="19" t="s">
        <v>16</v>
      </c>
      <c r="C16" s="20">
        <f>SUM(C14:C15)</f>
        <v>4071</v>
      </c>
      <c r="D16" s="20">
        <f>SUM(D14:D15)</f>
        <v>3869</v>
      </c>
      <c r="E16" s="20">
        <f>SUM(E14:E15)</f>
        <v>3650</v>
      </c>
      <c r="F16" s="20">
        <f ca="1">F39*F14</f>
        <v>3662.6640000000002</v>
      </c>
      <c r="G16" s="20">
        <f t="shared" ref="G16:J16" ca="1" si="2">G39*G14</f>
        <v>3754.2305999999999</v>
      </c>
      <c r="H16" s="20">
        <f t="shared" ca="1" si="2"/>
        <v>3941.9421300000004</v>
      </c>
      <c r="I16" s="20">
        <f t="shared" ca="1" si="2"/>
        <v>4139.0392365000007</v>
      </c>
      <c r="J16" s="20">
        <f t="shared" ca="1" si="2"/>
        <v>4345.9911983250013</v>
      </c>
    </row>
    <row r="17" spans="1:10" ht="5.25" customHeight="1" x14ac:dyDescent="0.25">
      <c r="A17" s="14"/>
      <c r="B17" s="14"/>
      <c r="C17" s="21"/>
      <c r="D17" s="21"/>
      <c r="E17" s="21"/>
      <c r="F17" s="21"/>
      <c r="G17" s="21"/>
      <c r="H17" s="21"/>
      <c r="I17" s="21"/>
      <c r="J17" s="21"/>
    </row>
    <row r="18" spans="1:10" x14ac:dyDescent="0.25">
      <c r="A18" s="14"/>
      <c r="B18" s="14" t="s">
        <v>17</v>
      </c>
      <c r="C18" s="22">
        <v>-424</v>
      </c>
      <c r="D18" s="22">
        <v>-397</v>
      </c>
      <c r="E18" s="22">
        <v>-373</v>
      </c>
      <c r="F18" s="18">
        <f ca="1">-(F40*F14)</f>
        <v>-366.26639999999998</v>
      </c>
      <c r="G18" s="18">
        <f ca="1">-(G40*G14)</f>
        <v>-375.42305999999996</v>
      </c>
      <c r="H18" s="18">
        <f ca="1">-(H40*H14)</f>
        <v>-394.19421300000005</v>
      </c>
      <c r="I18" s="18">
        <f ca="1">-(I40*I14)</f>
        <v>-413.90392365000008</v>
      </c>
      <c r="J18" s="18">
        <f ca="1">-(J40*J14)</f>
        <v>-434.59911983250009</v>
      </c>
    </row>
    <row r="19" spans="1:10" x14ac:dyDescent="0.25">
      <c r="A19" s="14"/>
      <c r="B19" s="14" t="s">
        <v>18</v>
      </c>
      <c r="C19" s="22">
        <f>-(2514+216+53+9+330)</f>
        <v>-3122</v>
      </c>
      <c r="D19" s="22">
        <f>-(2379+157+48+68+271)</f>
        <v>-2923</v>
      </c>
      <c r="E19" s="22">
        <f>-(2085+229+45+12+84)</f>
        <v>-2455</v>
      </c>
      <c r="F19" s="18">
        <f ca="1">-(F14*F41)</f>
        <v>-2746.998</v>
      </c>
      <c r="G19" s="18">
        <f ca="1">-(G14*G41)</f>
        <v>-2815.6729499999997</v>
      </c>
      <c r="H19" s="18">
        <f ca="1">-(H14*H41)</f>
        <v>-2956.4565975</v>
      </c>
      <c r="I19" s="18">
        <f ca="1">-(I14*I41)</f>
        <v>-3104.2794273750005</v>
      </c>
      <c r="J19" s="18">
        <f ca="1">-(J14*J41)</f>
        <v>-3259.4933987437503</v>
      </c>
    </row>
    <row r="20" spans="1:10" x14ac:dyDescent="0.25">
      <c r="A20" s="14"/>
      <c r="B20" s="19" t="s">
        <v>19</v>
      </c>
      <c r="C20" s="20">
        <f t="shared" ref="C20:J20" si="3">SUM(C18:C19,C16)</f>
        <v>525</v>
      </c>
      <c r="D20" s="20">
        <f t="shared" si="3"/>
        <v>549</v>
      </c>
      <c r="E20" s="20">
        <f t="shared" si="3"/>
        <v>822</v>
      </c>
      <c r="F20" s="20">
        <f t="shared" ca="1" si="3"/>
        <v>549.39960000000019</v>
      </c>
      <c r="G20" s="20">
        <f t="shared" ca="1" si="3"/>
        <v>563.13459000000012</v>
      </c>
      <c r="H20" s="20">
        <f t="shared" ca="1" si="3"/>
        <v>591.2913195000001</v>
      </c>
      <c r="I20" s="20">
        <f t="shared" ca="1" si="3"/>
        <v>620.85588547499992</v>
      </c>
      <c r="J20" s="20">
        <f t="shared" ca="1" si="3"/>
        <v>651.89867974875096</v>
      </c>
    </row>
    <row r="21" spans="1:10" ht="5.25" customHeight="1" x14ac:dyDescent="0.25">
      <c r="A21" s="14"/>
      <c r="B21" s="14"/>
      <c r="C21" s="14"/>
      <c r="D21" s="14"/>
      <c r="E21" s="14"/>
      <c r="F21" s="14"/>
      <c r="G21" s="14"/>
      <c r="H21" s="14"/>
      <c r="I21" s="14"/>
      <c r="J21" s="14"/>
    </row>
    <row r="22" spans="1:10" x14ac:dyDescent="0.25">
      <c r="A22" s="14"/>
      <c r="B22" s="14" t="s">
        <v>20</v>
      </c>
      <c r="C22" s="22">
        <v>0</v>
      </c>
      <c r="D22" s="22">
        <v>0</v>
      </c>
      <c r="E22" s="22">
        <v>0</v>
      </c>
      <c r="F22" s="21">
        <f ca="1">F252</f>
        <v>1222.8398429487179</v>
      </c>
      <c r="G22" s="21">
        <f t="shared" ref="G22:J22" ca="1" si="4">G252</f>
        <v>958.73641449162972</v>
      </c>
      <c r="H22" s="21">
        <f t="shared" ca="1" si="4"/>
        <v>1094.5272389811707</v>
      </c>
      <c r="I22" s="21">
        <f t="shared" ca="1" si="4"/>
        <v>839.16675428681492</v>
      </c>
      <c r="J22" s="21">
        <f t="shared" ca="1" si="4"/>
        <v>1035.6984623962599</v>
      </c>
    </row>
    <row r="23" spans="1:10" x14ac:dyDescent="0.25">
      <c r="A23" s="14"/>
      <c r="B23" s="14" t="s">
        <v>21</v>
      </c>
      <c r="C23" s="22">
        <v>0</v>
      </c>
      <c r="D23" s="22">
        <v>0</v>
      </c>
      <c r="E23" s="22">
        <v>0</v>
      </c>
      <c r="F23" s="21">
        <f>-(F157+F244)</f>
        <v>-175.00039999999998</v>
      </c>
      <c r="G23" s="21">
        <f>-(G157+G244)</f>
        <v>-144.57479999999998</v>
      </c>
      <c r="H23" s="21">
        <f>-(H157+H244)</f>
        <v>-96.36</v>
      </c>
      <c r="I23" s="21">
        <f>-(I157+I244)</f>
        <v>-84.149999999999991</v>
      </c>
      <c r="J23" s="21">
        <f>-(J157+J244)</f>
        <v>-47.349999999999994</v>
      </c>
    </row>
    <row r="24" spans="1:10" ht="15" customHeight="1" x14ac:dyDescent="0.25">
      <c r="A24" s="14"/>
      <c r="B24" s="14" t="s">
        <v>22</v>
      </c>
      <c r="C24" s="45">
        <f>13+137</f>
        <v>150</v>
      </c>
      <c r="D24" s="45">
        <f>8+64</f>
        <v>72</v>
      </c>
      <c r="E24" s="45">
        <f>8+710</f>
        <v>718</v>
      </c>
      <c r="F24" s="85">
        <v>0</v>
      </c>
      <c r="G24" s="85">
        <f>F24</f>
        <v>0</v>
      </c>
      <c r="H24" s="85">
        <f>G24</f>
        <v>0</v>
      </c>
      <c r="I24" s="85">
        <f>H24</f>
        <v>0</v>
      </c>
      <c r="J24" s="85">
        <f>I24</f>
        <v>0</v>
      </c>
    </row>
    <row r="25" spans="1:10" x14ac:dyDescent="0.25">
      <c r="A25" s="14"/>
      <c r="B25" s="19" t="s">
        <v>23</v>
      </c>
      <c r="C25" s="44">
        <f t="shared" ref="C25:J25" si="5">SUM(C22:C24)+C20</f>
        <v>675</v>
      </c>
      <c r="D25" s="44">
        <f t="shared" si="5"/>
        <v>621</v>
      </c>
      <c r="E25" s="44">
        <f t="shared" si="5"/>
        <v>1540</v>
      </c>
      <c r="F25" s="44">
        <f t="shared" ca="1" si="5"/>
        <v>1597.2390429487182</v>
      </c>
      <c r="G25" s="44">
        <f t="shared" ca="1" si="5"/>
        <v>1377.2962044916299</v>
      </c>
      <c r="H25" s="44">
        <f t="shared" ca="1" si="5"/>
        <v>1589.4585584811707</v>
      </c>
      <c r="I25" s="44">
        <f t="shared" ca="1" si="5"/>
        <v>1375.8726397618148</v>
      </c>
      <c r="J25" s="44">
        <f t="shared" ca="1" si="5"/>
        <v>1640.2471421450109</v>
      </c>
    </row>
    <row r="26" spans="1:10" ht="5.25" customHeight="1" x14ac:dyDescent="0.25">
      <c r="A26" s="14"/>
      <c r="B26" s="14"/>
      <c r="C26" s="21"/>
      <c r="D26" s="21"/>
      <c r="E26" s="21"/>
      <c r="F26" s="21"/>
      <c r="G26" s="21"/>
      <c r="H26" s="21"/>
      <c r="I26" s="21"/>
      <c r="J26" s="21"/>
    </row>
    <row r="27" spans="1:10" x14ac:dyDescent="0.25">
      <c r="A27" s="14"/>
      <c r="B27" s="14" t="s">
        <v>24</v>
      </c>
      <c r="C27" s="22">
        <f>-(4+8+468)</f>
        <v>-480</v>
      </c>
      <c r="D27" s="22">
        <f>-(4+9+247)</f>
        <v>-260</v>
      </c>
      <c r="E27" s="22">
        <f>-(3+5+179)</f>
        <v>-187</v>
      </c>
      <c r="F27" s="18">
        <f ca="1">-(F25*F42)</f>
        <v>-319.44780858974366</v>
      </c>
      <c r="G27" s="18">
        <f ca="1">-(G25*G42)</f>
        <v>-303.00516498815858</v>
      </c>
      <c r="H27" s="18">
        <f ca="1">-(H25*H42)</f>
        <v>-413.25922520510437</v>
      </c>
      <c r="I27" s="18">
        <f ca="1">-(I25*I42)</f>
        <v>-343.96815994045369</v>
      </c>
      <c r="J27" s="18">
        <f ca="1">-(J25*J42)</f>
        <v>-410.06178553625273</v>
      </c>
    </row>
    <row r="28" spans="1:10" ht="15.75" thickBot="1" x14ac:dyDescent="0.3">
      <c r="A28" s="14"/>
      <c r="B28" s="23" t="s">
        <v>25</v>
      </c>
      <c r="C28" s="24">
        <f>C27+C25</f>
        <v>195</v>
      </c>
      <c r="D28" s="24">
        <f>D27+D25</f>
        <v>361</v>
      </c>
      <c r="E28" s="24">
        <f>E27+E25</f>
        <v>1353</v>
      </c>
      <c r="F28" s="24">
        <f t="shared" ref="F28:J28" ca="1" si="6">F27+F25</f>
        <v>1277.7912343589746</v>
      </c>
      <c r="G28" s="24">
        <f t="shared" ca="1" si="6"/>
        <v>1074.2910395034712</v>
      </c>
      <c r="H28" s="24">
        <f t="shared" ca="1" si="6"/>
        <v>1176.1993332760662</v>
      </c>
      <c r="I28" s="24">
        <f t="shared" ca="1" si="6"/>
        <v>1031.9044798213611</v>
      </c>
      <c r="J28" s="24">
        <f t="shared" ca="1" si="6"/>
        <v>1230.1853566087582</v>
      </c>
    </row>
    <row r="29" spans="1:10" ht="4.5" customHeight="1" thickTop="1" x14ac:dyDescent="0.25">
      <c r="A29" s="14"/>
      <c r="B29" s="14"/>
      <c r="C29" s="14"/>
      <c r="D29" s="14"/>
      <c r="E29" s="14"/>
      <c r="F29" s="14"/>
      <c r="G29" s="14"/>
      <c r="H29" s="14"/>
      <c r="I29" s="14"/>
      <c r="J29" s="14"/>
    </row>
    <row r="30" spans="1:10" ht="15" customHeight="1" x14ac:dyDescent="0.25">
      <c r="A30" s="14"/>
      <c r="B30" s="14" t="s">
        <v>26</v>
      </c>
      <c r="C30" s="46">
        <v>254.34100000000001</v>
      </c>
      <c r="D30" s="46">
        <v>248.70699999999999</v>
      </c>
      <c r="E30" s="46">
        <v>221.96899999999999</v>
      </c>
      <c r="F30" s="17">
        <f>F260</f>
        <v>198.843713093432</v>
      </c>
      <c r="G30" s="17">
        <f t="shared" ref="G30:J30" si="7">G260</f>
        <v>185.23120674431524</v>
      </c>
      <c r="H30" s="17">
        <f t="shared" si="7"/>
        <v>172.01518116264847</v>
      </c>
      <c r="I30" s="17">
        <f t="shared" si="7"/>
        <v>159.18408836491375</v>
      </c>
      <c r="J30" s="17">
        <f t="shared" si="7"/>
        <v>146.72671671662761</v>
      </c>
    </row>
    <row r="31" spans="1:10" ht="15" customHeight="1" x14ac:dyDescent="0.25">
      <c r="A31" s="14"/>
      <c r="B31" s="14" t="s">
        <v>27</v>
      </c>
      <c r="C31" s="46">
        <f>C32-C30</f>
        <v>2.228999999999985</v>
      </c>
      <c r="D31" s="46">
        <f>D32-D30</f>
        <v>2.953000000000003</v>
      </c>
      <c r="E31" s="46">
        <f>E32-E30</f>
        <v>11.200000000000017</v>
      </c>
      <c r="F31" s="22">
        <v>10</v>
      </c>
      <c r="G31" s="22">
        <v>10</v>
      </c>
      <c r="H31" s="22">
        <v>10</v>
      </c>
      <c r="I31" s="22">
        <v>10</v>
      </c>
      <c r="J31" s="22">
        <v>10</v>
      </c>
    </row>
    <row r="32" spans="1:10" ht="15" customHeight="1" x14ac:dyDescent="0.25">
      <c r="A32" s="14"/>
      <c r="B32" s="14" t="s">
        <v>28</v>
      </c>
      <c r="C32" s="46">
        <v>256.57</v>
      </c>
      <c r="D32" s="46">
        <v>251.66</v>
      </c>
      <c r="E32" s="46">
        <v>233.16900000000001</v>
      </c>
      <c r="F32" s="46">
        <f>F30+F31</f>
        <v>208.843713093432</v>
      </c>
      <c r="G32" s="46">
        <f t="shared" ref="G32:J32" si="8">G30+G31</f>
        <v>195.23120674431524</v>
      </c>
      <c r="H32" s="46">
        <f t="shared" si="8"/>
        <v>182.01518116264847</v>
      </c>
      <c r="I32" s="46">
        <f t="shared" si="8"/>
        <v>169.18408836491375</v>
      </c>
      <c r="J32" s="46">
        <f t="shared" si="8"/>
        <v>156.72671671662761</v>
      </c>
    </row>
    <row r="33" spans="1:10" ht="5.25" customHeight="1" x14ac:dyDescent="0.25">
      <c r="A33" s="14"/>
      <c r="B33" s="14"/>
      <c r="C33" s="47"/>
      <c r="D33" s="47"/>
      <c r="E33" s="47"/>
      <c r="F33" s="14"/>
      <c r="G33" s="14"/>
      <c r="H33" s="14"/>
      <c r="I33" s="14"/>
      <c r="J33" s="14"/>
    </row>
    <row r="34" spans="1:10" ht="15" customHeight="1" x14ac:dyDescent="0.25">
      <c r="A34" s="14"/>
      <c r="B34" s="14" t="s">
        <v>29</v>
      </c>
      <c r="C34" s="48">
        <f>C28/C30</f>
        <v>0.76668724271745414</v>
      </c>
      <c r="D34" s="48">
        <v>1.4</v>
      </c>
      <c r="E34" s="48">
        <v>6.03</v>
      </c>
      <c r="F34" s="179">
        <f ca="1">F28/F30</f>
        <v>6.4261082962103533</v>
      </c>
      <c r="G34" s="179">
        <f ca="1">G28/G30</f>
        <v>5.799730285115368</v>
      </c>
      <c r="H34" s="179">
        <f ca="1">H28/H30</f>
        <v>6.8377646980118243</v>
      </c>
      <c r="I34" s="179">
        <f ca="1">I28/I30</f>
        <v>6.4824599645651917</v>
      </c>
      <c r="J34" s="179">
        <f ca="1">J28/J30</f>
        <v>8.3841946724985839</v>
      </c>
    </row>
    <row r="35" spans="1:10" ht="15" customHeight="1" x14ac:dyDescent="0.25">
      <c r="A35" s="14"/>
      <c r="B35" s="14" t="s">
        <v>30</v>
      </c>
      <c r="C35" s="48">
        <f>C28/C32</f>
        <v>0.76002650348832679</v>
      </c>
      <c r="D35" s="48">
        <v>1.38</v>
      </c>
      <c r="E35" s="48">
        <v>5.8</v>
      </c>
      <c r="F35" s="179">
        <f ca="1">F28/F32</f>
        <v>6.1184089069864385</v>
      </c>
      <c r="G35" s="179">
        <f ca="1">G28/G32</f>
        <v>5.5026604476732945</v>
      </c>
      <c r="H35" s="179">
        <f ca="1">H28/H32</f>
        <v>6.4620946767347744</v>
      </c>
      <c r="I35" s="179">
        <f ca="1">I28/I32</f>
        <v>6.0992998206524165</v>
      </c>
      <c r="J35" s="179">
        <f ca="1">J28/J32</f>
        <v>7.8492383582118652</v>
      </c>
    </row>
    <row r="36" spans="1:10" ht="5.25" customHeight="1" x14ac:dyDescent="0.25">
      <c r="A36" s="14"/>
      <c r="B36" s="14"/>
      <c r="C36" s="47"/>
      <c r="D36" s="47"/>
      <c r="E36" s="47"/>
      <c r="F36" s="14"/>
      <c r="G36" s="14"/>
      <c r="H36" s="14"/>
      <c r="I36" s="14"/>
      <c r="J36" s="14"/>
    </row>
    <row r="37" spans="1:10" ht="15" customHeight="1" x14ac:dyDescent="0.25">
      <c r="A37" s="14"/>
      <c r="B37" s="27" t="s">
        <v>31</v>
      </c>
      <c r="C37" s="47"/>
      <c r="D37" s="47"/>
      <c r="E37" s="47"/>
      <c r="F37" s="14"/>
      <c r="G37" s="14"/>
      <c r="H37" s="14"/>
      <c r="I37" s="14"/>
      <c r="J37" s="14"/>
    </row>
    <row r="38" spans="1:10" ht="15" customHeight="1" x14ac:dyDescent="0.25">
      <c r="A38" s="14"/>
      <c r="B38" s="14" t="s">
        <v>32</v>
      </c>
      <c r="C38" s="32"/>
      <c r="D38" s="32">
        <f>D14/C14-1</f>
        <v>-3.2929636673005747E-2</v>
      </c>
      <c r="E38" s="32">
        <f>E14/D14-1</f>
        <v>-6.1684951355826967E-2</v>
      </c>
      <c r="F38" s="30">
        <f ca="1">SCENARIO!C28</f>
        <v>0.01</v>
      </c>
      <c r="G38" s="30">
        <f ca="1">SCENARIO!D28</f>
        <v>2.5000000000000001E-2</v>
      </c>
      <c r="H38" s="30">
        <f ca="1">SCENARIO!E28</f>
        <v>0.05</v>
      </c>
      <c r="I38" s="30">
        <f ca="1">SCENARIO!F28</f>
        <v>0.05</v>
      </c>
      <c r="J38" s="30">
        <f ca="1">SCENARIO!G28</f>
        <v>0.05</v>
      </c>
    </row>
    <row r="39" spans="1:10" ht="15" customHeight="1" x14ac:dyDescent="0.25">
      <c r="A39" s="14"/>
      <c r="B39" s="14" t="s">
        <v>33</v>
      </c>
      <c r="C39" s="32">
        <f>C16/C14</f>
        <v>0.40746672004804324</v>
      </c>
      <c r="D39" s="32">
        <f>D16/D14</f>
        <v>0.40043469261022563</v>
      </c>
      <c r="E39" s="32">
        <f>E16/E14</f>
        <v>0.40260313258327818</v>
      </c>
      <c r="F39" s="30">
        <f ca="1">SCENARIO!C29</f>
        <v>0.4</v>
      </c>
      <c r="G39" s="30">
        <f ca="1">SCENARIO!D29</f>
        <v>0.4</v>
      </c>
      <c r="H39" s="30">
        <f ca="1">SCENARIO!E29</f>
        <v>0.4</v>
      </c>
      <c r="I39" s="30">
        <f ca="1">SCENARIO!F29</f>
        <v>0.4</v>
      </c>
      <c r="J39" s="30">
        <f ca="1">SCENARIO!G29</f>
        <v>0.4</v>
      </c>
    </row>
    <row r="40" spans="1:10" ht="15" customHeight="1" x14ac:dyDescent="0.25">
      <c r="A40" s="14"/>
      <c r="B40" s="14" t="s">
        <v>34</v>
      </c>
      <c r="C40" s="32">
        <f>-(C18/C14)</f>
        <v>4.2438194374937441E-2</v>
      </c>
      <c r="D40" s="32">
        <f>-(D18/D14)</f>
        <v>4.1088801490374666E-2</v>
      </c>
      <c r="E40" s="32">
        <f>-(E18/E14)</f>
        <v>4.1142731083167877E-2</v>
      </c>
      <c r="F40" s="30">
        <f ca="1">SCENARIO!C30</f>
        <v>0.04</v>
      </c>
      <c r="G40" s="30">
        <f ca="1">SCENARIO!D30</f>
        <v>0.04</v>
      </c>
      <c r="H40" s="30">
        <f ca="1">SCENARIO!E30</f>
        <v>0.04</v>
      </c>
      <c r="I40" s="30">
        <f ca="1">SCENARIO!F30</f>
        <v>0.04</v>
      </c>
      <c r="J40" s="30">
        <f ca="1">SCENARIO!G30</f>
        <v>0.04</v>
      </c>
    </row>
    <row r="41" spans="1:10" ht="15" customHeight="1" x14ac:dyDescent="0.25">
      <c r="A41" s="14"/>
      <c r="B41" s="14" t="s">
        <v>35</v>
      </c>
      <c r="C41" s="32">
        <f>-(C19/C14)</f>
        <v>0.31248123310979881</v>
      </c>
      <c r="D41" s="32">
        <f>-(D19/D14)</f>
        <v>0.3025253570689298</v>
      </c>
      <c r="E41" s="32">
        <f>-(E19/E14)</f>
        <v>0.27079196999779398</v>
      </c>
      <c r="F41" s="30">
        <f ca="1">SCENARIO!C31</f>
        <v>0.3</v>
      </c>
      <c r="G41" s="30">
        <f ca="1">SCENARIO!D31</f>
        <v>0.3</v>
      </c>
      <c r="H41" s="30">
        <f ca="1">SCENARIO!E31</f>
        <v>0.3</v>
      </c>
      <c r="I41" s="30">
        <f ca="1">SCENARIO!F31</f>
        <v>0.3</v>
      </c>
      <c r="J41" s="30">
        <f ca="1">SCENARIO!G31</f>
        <v>0.3</v>
      </c>
    </row>
    <row r="42" spans="1:10" ht="15" customHeight="1" x14ac:dyDescent="0.25">
      <c r="A42" s="14"/>
      <c r="B42" s="14" t="s">
        <v>36</v>
      </c>
      <c r="C42" s="32">
        <f>-(C27/C25)</f>
        <v>0.71111111111111114</v>
      </c>
      <c r="D42" s="32">
        <f>-(D27/D25)</f>
        <v>0.41867954911433175</v>
      </c>
      <c r="E42" s="32">
        <f>-(E27/E25)</f>
        <v>0.12142857142857143</v>
      </c>
      <c r="F42" s="31">
        <v>0.2</v>
      </c>
      <c r="G42" s="31">
        <v>0.22</v>
      </c>
      <c r="H42" s="31">
        <v>0.26</v>
      </c>
      <c r="I42" s="31">
        <v>0.25</v>
      </c>
      <c r="J42" s="31">
        <v>0.25</v>
      </c>
    </row>
    <row r="43" spans="1:10" ht="5.25" customHeight="1" x14ac:dyDescent="0.25">
      <c r="A43" s="14"/>
      <c r="B43" s="14"/>
      <c r="C43" s="14"/>
      <c r="D43" s="14"/>
      <c r="E43" s="14"/>
      <c r="F43" s="14"/>
      <c r="G43" s="14"/>
      <c r="H43" s="14"/>
      <c r="I43" s="14"/>
      <c r="J43" s="14"/>
    </row>
    <row r="44" spans="1:10" x14ac:dyDescent="0.25">
      <c r="A44" s="14"/>
      <c r="B44" s="27" t="s">
        <v>37</v>
      </c>
      <c r="C44" s="14"/>
      <c r="D44" s="14"/>
      <c r="E44" s="14"/>
      <c r="F44" s="14"/>
      <c r="G44" s="14"/>
      <c r="H44" s="14"/>
      <c r="I44" s="14"/>
      <c r="J44" s="14"/>
    </row>
    <row r="45" spans="1:10" x14ac:dyDescent="0.25">
      <c r="A45" s="14"/>
      <c r="B45" s="14" t="s">
        <v>38</v>
      </c>
      <c r="C45" s="22">
        <v>527</v>
      </c>
      <c r="D45" s="22">
        <v>526</v>
      </c>
      <c r="E45" s="22">
        <v>430</v>
      </c>
      <c r="F45" s="18">
        <f ca="1">-(F119+F130)</f>
        <v>139.01242500000001</v>
      </c>
      <c r="G45" s="18">
        <f ca="1">-(G119+G130)</f>
        <v>141.58773562499999</v>
      </c>
      <c r="H45" s="18">
        <f ca="1">-(H119+H130)</f>
        <v>142.86712240624999</v>
      </c>
      <c r="I45" s="18">
        <f ca="1">-(I119+I130)</f>
        <v>146.41047852656251</v>
      </c>
      <c r="J45" s="18">
        <f ca="1">-(J119+J130)</f>
        <v>140.23100245289064</v>
      </c>
    </row>
    <row r="46" spans="1:10" x14ac:dyDescent="0.25">
      <c r="A46" s="14"/>
      <c r="B46" s="14" t="s">
        <v>39</v>
      </c>
      <c r="C46" s="22">
        <v>52</v>
      </c>
      <c r="D46" s="22">
        <v>57</v>
      </c>
      <c r="E46" s="22">
        <v>50</v>
      </c>
      <c r="F46" s="18">
        <f ca="1">F172</f>
        <v>43.036301999999999</v>
      </c>
      <c r="G46" s="18">
        <f t="shared" ref="G46:J46" ca="1" si="9">G172</f>
        <v>44.112209549999996</v>
      </c>
      <c r="H46" s="18">
        <f t="shared" ca="1" si="9"/>
        <v>46.317820027500005</v>
      </c>
      <c r="I46" s="18">
        <f t="shared" ca="1" si="9"/>
        <v>58.360453234650009</v>
      </c>
      <c r="J46" s="18">
        <f t="shared" ca="1" si="9"/>
        <v>63.831745725398449</v>
      </c>
    </row>
    <row r="47" spans="1:10" x14ac:dyDescent="0.25">
      <c r="A47" s="14"/>
      <c r="B47" s="19" t="s">
        <v>40</v>
      </c>
      <c r="C47" s="20">
        <f t="shared" ref="C47:J47" si="10">C20+C45+C46</f>
        <v>1104</v>
      </c>
      <c r="D47" s="20">
        <f t="shared" si="10"/>
        <v>1132</v>
      </c>
      <c r="E47" s="20">
        <f t="shared" si="10"/>
        <v>1302</v>
      </c>
      <c r="F47" s="20">
        <f t="shared" ca="1" si="10"/>
        <v>731.44832700000018</v>
      </c>
      <c r="G47" s="20">
        <f t="shared" ca="1" si="10"/>
        <v>748.83453517500016</v>
      </c>
      <c r="H47" s="20">
        <f t="shared" ca="1" si="10"/>
        <v>780.47626193375015</v>
      </c>
      <c r="I47" s="20">
        <f t="shared" ca="1" si="10"/>
        <v>825.62681723621245</v>
      </c>
      <c r="J47" s="20">
        <f t="shared" ca="1" si="10"/>
        <v>855.96142792704006</v>
      </c>
    </row>
    <row r="48" spans="1:10" ht="5.25" customHeight="1" x14ac:dyDescent="0.25"/>
    <row r="49" spans="1:10" s="14" customFormat="1" ht="28.5" x14ac:dyDescent="0.45">
      <c r="A49" s="13" t="s">
        <v>12</v>
      </c>
      <c r="B49" s="4" t="s">
        <v>41</v>
      </c>
      <c r="C49" s="2"/>
      <c r="D49" s="2"/>
      <c r="E49" s="2"/>
      <c r="F49" s="2"/>
      <c r="G49" s="2"/>
      <c r="H49" s="2"/>
      <c r="I49" s="2"/>
      <c r="J49" s="2"/>
    </row>
    <row r="50" spans="1:10" s="14" customFormat="1" ht="5.25" customHeight="1" x14ac:dyDescent="0.25"/>
    <row r="51" spans="1:10" s="14" customFormat="1" x14ac:dyDescent="0.25">
      <c r="B51" s="27" t="s">
        <v>42</v>
      </c>
    </row>
    <row r="52" spans="1:10" s="14" customFormat="1" x14ac:dyDescent="0.25">
      <c r="B52" s="14" t="s">
        <v>64</v>
      </c>
      <c r="D52" s="15">
        <v>1081</v>
      </c>
      <c r="E52" s="15">
        <v>2740</v>
      </c>
      <c r="F52" s="34">
        <f ca="1">E52+F225</f>
        <v>2385.6736858974359</v>
      </c>
      <c r="G52" s="34">
        <f t="shared" ref="G52:J52" ca="1" si="11">F52+G225</f>
        <v>1865.2265752621056</v>
      </c>
      <c r="H52" s="34">
        <f t="shared" ca="1" si="11"/>
        <v>2148.2060159641014</v>
      </c>
      <c r="I52" s="34">
        <f t="shared" ca="1" si="11"/>
        <v>1631.2877968240159</v>
      </c>
      <c r="J52" s="34">
        <f t="shared" ca="1" si="11"/>
        <v>2035.6717220420737</v>
      </c>
    </row>
    <row r="53" spans="1:10" s="14" customFormat="1" x14ac:dyDescent="0.25">
      <c r="B53" s="14" t="s">
        <v>43</v>
      </c>
      <c r="D53" s="22">
        <f>1270+105+1218+2149</f>
        <v>4742</v>
      </c>
      <c r="E53" s="22">
        <f>1236+111+1158+2082</f>
        <v>4587</v>
      </c>
      <c r="F53" s="18">
        <f ca="1">F89</f>
        <v>4578.33</v>
      </c>
      <c r="G53" s="18">
        <f t="shared" ref="G53:J53" ca="1" si="12">G89</f>
        <v>4692.7882499999996</v>
      </c>
      <c r="H53" s="18">
        <f t="shared" ca="1" si="12"/>
        <v>4927.4276625000002</v>
      </c>
      <c r="I53" s="18">
        <f t="shared" ca="1" si="12"/>
        <v>5173.7990456250009</v>
      </c>
      <c r="J53" s="18">
        <f t="shared" ca="1" si="12"/>
        <v>5432.4889979062509</v>
      </c>
    </row>
    <row r="54" spans="1:10" s="14" customFormat="1" x14ac:dyDescent="0.25">
      <c r="B54" s="14" t="s">
        <v>44</v>
      </c>
      <c r="D54" s="22">
        <v>829</v>
      </c>
      <c r="E54" s="22">
        <v>694</v>
      </c>
      <c r="F54" s="18">
        <f ca="1">F97</f>
        <v>727.9544699999999</v>
      </c>
      <c r="G54" s="18">
        <f t="shared" ref="G54:J54" ca="1" si="13">G97</f>
        <v>746.15333175000001</v>
      </c>
      <c r="H54" s="18">
        <f t="shared" ca="1" si="13"/>
        <v>783.46099833750009</v>
      </c>
      <c r="I54" s="18">
        <f t="shared" ca="1" si="13"/>
        <v>822.63404825437522</v>
      </c>
      <c r="J54" s="18">
        <f t="shared" ca="1" si="13"/>
        <v>863.76575066709381</v>
      </c>
    </row>
    <row r="55" spans="1:10" s="14" customFormat="1" ht="15.75" customHeight="1" x14ac:dyDescent="0.25">
      <c r="B55" s="14" t="s">
        <v>66</v>
      </c>
      <c r="D55" s="22">
        <f>442+498</f>
        <v>940</v>
      </c>
      <c r="E55" s="22">
        <f>364+426</f>
        <v>790</v>
      </c>
      <c r="F55" s="35">
        <f ca="1">F115</f>
        <v>755.66252499999996</v>
      </c>
      <c r="G55" s="35">
        <f t="shared" ref="G55:J55" ca="1" si="14">G115</f>
        <v>720.46661312499998</v>
      </c>
      <c r="H55" s="35">
        <f t="shared" ca="1" si="14"/>
        <v>683.51090565624997</v>
      </c>
      <c r="I55" s="35">
        <f t="shared" ca="1" si="14"/>
        <v>644.70741281406242</v>
      </c>
      <c r="J55" s="35">
        <f t="shared" ca="1" si="14"/>
        <v>603.96374532976552</v>
      </c>
    </row>
    <row r="56" spans="1:10" s="14" customFormat="1" ht="15.75" customHeight="1" x14ac:dyDescent="0.25">
      <c r="B56" s="14" t="s">
        <v>69</v>
      </c>
      <c r="D56" s="22">
        <f>220+3858</f>
        <v>4078</v>
      </c>
      <c r="E56" s="22">
        <f>199+3900</f>
        <v>4099</v>
      </c>
      <c r="F56" s="35">
        <f>F127</f>
        <v>4063</v>
      </c>
      <c r="G56" s="35">
        <f t="shared" ref="G56:J56" si="15">G127</f>
        <v>4027</v>
      </c>
      <c r="H56" s="35">
        <f t="shared" si="15"/>
        <v>3995</v>
      </c>
      <c r="I56" s="35">
        <f t="shared" si="15"/>
        <v>3965</v>
      </c>
      <c r="J56" s="35">
        <f t="shared" si="15"/>
        <v>3947</v>
      </c>
    </row>
    <row r="57" spans="1:10" s="14" customFormat="1" ht="15.75" customHeight="1" x14ac:dyDescent="0.25">
      <c r="B57" s="14" t="s">
        <v>65</v>
      </c>
      <c r="D57" s="22">
        <v>740</v>
      </c>
      <c r="E57" s="22">
        <v>598</v>
      </c>
      <c r="F57" s="35">
        <f>F147</f>
        <v>598</v>
      </c>
      <c r="G57" s="35">
        <f t="shared" ref="G57:J57" si="16">G147</f>
        <v>598</v>
      </c>
      <c r="H57" s="35">
        <f t="shared" si="16"/>
        <v>598</v>
      </c>
      <c r="I57" s="35">
        <f t="shared" si="16"/>
        <v>598</v>
      </c>
      <c r="J57" s="35">
        <f t="shared" si="16"/>
        <v>598</v>
      </c>
    </row>
    <row r="58" spans="1:10" s="14" customFormat="1" x14ac:dyDescent="0.25">
      <c r="B58" s="40" t="s">
        <v>68</v>
      </c>
      <c r="D58" s="22">
        <f>191+1352+902+19</f>
        <v>2464</v>
      </c>
      <c r="E58" s="22">
        <f>201+1338</f>
        <v>1539</v>
      </c>
      <c r="F58" s="18">
        <f>F137</f>
        <v>1539</v>
      </c>
      <c r="G58" s="18">
        <f t="shared" ref="G58:J58" si="17">G137</f>
        <v>1539</v>
      </c>
      <c r="H58" s="18">
        <f t="shared" si="17"/>
        <v>1539</v>
      </c>
      <c r="I58" s="18">
        <f t="shared" si="17"/>
        <v>1539</v>
      </c>
      <c r="J58" s="18">
        <f t="shared" si="17"/>
        <v>1539</v>
      </c>
    </row>
    <row r="59" spans="1:10" s="27" customFormat="1" ht="16.5" customHeight="1" thickBot="1" x14ac:dyDescent="0.3">
      <c r="B59" s="23" t="s">
        <v>45</v>
      </c>
      <c r="C59" s="23"/>
      <c r="D59" s="24">
        <f>SUM(D52:D58)</f>
        <v>14874</v>
      </c>
      <c r="E59" s="36">
        <f>SUM(E52:E58)</f>
        <v>15047</v>
      </c>
      <c r="F59" s="36">
        <f ca="1">SUM(F52:F58)</f>
        <v>14647.620680897437</v>
      </c>
      <c r="G59" s="36">
        <f t="shared" ref="G59:J59" ca="1" si="18">SUM(G52:G58)</f>
        <v>14188.634770137105</v>
      </c>
      <c r="H59" s="36">
        <f t="shared" ca="1" si="18"/>
        <v>14674.605582457853</v>
      </c>
      <c r="I59" s="36">
        <f t="shared" ca="1" si="18"/>
        <v>14374.428303517454</v>
      </c>
      <c r="J59" s="36">
        <f t="shared" ca="1" si="18"/>
        <v>15019.890215945183</v>
      </c>
    </row>
    <row r="60" spans="1:10" s="14" customFormat="1" ht="5.25" customHeight="1" thickTop="1" x14ac:dyDescent="0.25">
      <c r="B60" s="33"/>
      <c r="D60" s="21"/>
      <c r="E60" s="21"/>
      <c r="F60" s="21"/>
      <c r="G60" s="21"/>
      <c r="H60" s="21"/>
      <c r="I60" s="21"/>
      <c r="J60" s="21"/>
    </row>
    <row r="61" spans="1:10" s="14" customFormat="1" x14ac:dyDescent="0.25">
      <c r="B61" s="27" t="s">
        <v>46</v>
      </c>
      <c r="D61" s="21"/>
      <c r="E61" s="21"/>
      <c r="F61" s="21"/>
      <c r="G61" s="21"/>
      <c r="H61" s="21"/>
      <c r="I61" s="21"/>
      <c r="J61" s="21"/>
    </row>
    <row r="62" spans="1:10" s="14" customFormat="1" x14ac:dyDescent="0.25">
      <c r="B62" s="41" t="s">
        <v>47</v>
      </c>
      <c r="D62" s="22">
        <f>1073</f>
        <v>1073</v>
      </c>
      <c r="E62" s="22">
        <v>1053</v>
      </c>
      <c r="F62" s="18">
        <f ca="1">F105</f>
        <v>1098.7991999999999</v>
      </c>
      <c r="G62" s="18">
        <f t="shared" ref="G62:J62" ca="1" si="19">G105</f>
        <v>1126.2691799999998</v>
      </c>
      <c r="H62" s="18">
        <f t="shared" ca="1" si="19"/>
        <v>1182.582639</v>
      </c>
      <c r="I62" s="18">
        <f t="shared" ca="1" si="19"/>
        <v>1241.7117709500001</v>
      </c>
      <c r="J62" s="18">
        <f t="shared" ca="1" si="19"/>
        <v>1303.7973594975001</v>
      </c>
    </row>
    <row r="63" spans="1:10" s="14" customFormat="1" x14ac:dyDescent="0.25">
      <c r="B63" s="41" t="s">
        <v>48</v>
      </c>
      <c r="D63" s="22">
        <v>0</v>
      </c>
      <c r="E63" s="22">
        <v>0</v>
      </c>
      <c r="F63" s="21"/>
      <c r="G63" s="21"/>
      <c r="H63" s="21"/>
      <c r="I63" s="21"/>
      <c r="J63" s="21"/>
    </row>
    <row r="64" spans="1:10" s="14" customFormat="1" x14ac:dyDescent="0.25">
      <c r="B64" s="41" t="s">
        <v>49</v>
      </c>
      <c r="D64" s="22">
        <f>961+4269</f>
        <v>5230</v>
      </c>
      <c r="E64" s="22">
        <f>1049+3233</f>
        <v>4282</v>
      </c>
      <c r="F64" s="18">
        <f>F155</f>
        <v>3231</v>
      </c>
      <c r="G64" s="18">
        <f t="shared" ref="G64:J64" si="20">G155</f>
        <v>2169</v>
      </c>
      <c r="H64" s="18">
        <f t="shared" si="20"/>
        <v>1869</v>
      </c>
      <c r="I64" s="18">
        <f t="shared" si="20"/>
        <v>869</v>
      </c>
      <c r="J64" s="18">
        <f t="shared" si="20"/>
        <v>569</v>
      </c>
    </row>
    <row r="65" spans="2:10" s="14" customFormat="1" x14ac:dyDescent="0.25">
      <c r="B65" s="41" t="s">
        <v>50</v>
      </c>
      <c r="D65" s="22">
        <f>348+21+848+1482+350+269</f>
        <v>3318</v>
      </c>
      <c r="E65" s="22">
        <f>349+984+1707+352+512</f>
        <v>3904</v>
      </c>
      <c r="F65" s="18">
        <f>F142</f>
        <v>3904</v>
      </c>
      <c r="G65" s="18">
        <f t="shared" ref="G65:J65" si="21">G142</f>
        <v>3904</v>
      </c>
      <c r="H65" s="18">
        <f t="shared" si="21"/>
        <v>3904</v>
      </c>
      <c r="I65" s="18">
        <f t="shared" si="21"/>
        <v>3904</v>
      </c>
      <c r="J65" s="18">
        <f t="shared" si="21"/>
        <v>3904</v>
      </c>
    </row>
    <row r="66" spans="2:10" s="27" customFormat="1" ht="15.75" thickBot="1" x14ac:dyDescent="0.3">
      <c r="B66" s="23" t="s">
        <v>51</v>
      </c>
      <c r="C66" s="23"/>
      <c r="D66" s="24">
        <f>SUM(D62:D65)</f>
        <v>9621</v>
      </c>
      <c r="E66" s="24">
        <f>SUM(E62:E65)</f>
        <v>9239</v>
      </c>
      <c r="F66" s="24">
        <f ca="1">SUM(F62:F65)</f>
        <v>8233.7991999999995</v>
      </c>
      <c r="G66" s="24">
        <f t="shared" ref="G66:J66" ca="1" si="22">SUM(G62:G65)</f>
        <v>7199.2691799999993</v>
      </c>
      <c r="H66" s="24">
        <f t="shared" ca="1" si="22"/>
        <v>6955.5826390000002</v>
      </c>
      <c r="I66" s="24">
        <f t="shared" ca="1" si="22"/>
        <v>6014.7117709499998</v>
      </c>
      <c r="J66" s="24">
        <f t="shared" ca="1" si="22"/>
        <v>5776.7973594975001</v>
      </c>
    </row>
    <row r="67" spans="2:10" s="14" customFormat="1" ht="5.25" customHeight="1" thickTop="1" x14ac:dyDescent="0.25">
      <c r="B67" s="41"/>
      <c r="D67" s="21"/>
      <c r="E67" s="21"/>
      <c r="F67" s="21"/>
      <c r="G67" s="21"/>
      <c r="H67" s="21"/>
      <c r="I67" s="21"/>
      <c r="J67" s="21"/>
    </row>
    <row r="68" spans="2:10" s="14" customFormat="1" x14ac:dyDescent="0.25">
      <c r="B68" s="27" t="s">
        <v>52</v>
      </c>
      <c r="D68" s="21"/>
      <c r="E68" s="21"/>
      <c r="F68" s="21"/>
      <c r="G68" s="21"/>
      <c r="H68" s="21"/>
      <c r="I68" s="21"/>
      <c r="J68" s="21"/>
    </row>
    <row r="69" spans="2:10" s="14" customFormat="1" x14ac:dyDescent="0.25">
      <c r="B69" s="41" t="s">
        <v>53</v>
      </c>
      <c r="D69" s="22">
        <f>232+3321+214+34</f>
        <v>3801</v>
      </c>
      <c r="E69" s="22">
        <f>215+2782+7+214</f>
        <v>3218</v>
      </c>
      <c r="F69" s="18">
        <f ca="1">F169</f>
        <v>3261.036302</v>
      </c>
      <c r="G69" s="18">
        <f t="shared" ref="G69:J69" ca="1" si="23">G169</f>
        <v>3305.14851155</v>
      </c>
      <c r="H69" s="18">
        <f t="shared" ca="1" si="23"/>
        <v>3351.4663315775001</v>
      </c>
      <c r="I69" s="18">
        <f t="shared" ca="1" si="23"/>
        <v>3409.82678481215</v>
      </c>
      <c r="J69" s="18">
        <f t="shared" ca="1" si="23"/>
        <v>3473.6585305375484</v>
      </c>
    </row>
    <row r="70" spans="2:10" s="14" customFormat="1" x14ac:dyDescent="0.25">
      <c r="B70" s="41" t="s">
        <v>54</v>
      </c>
      <c r="D70" s="22">
        <v>-55</v>
      </c>
      <c r="E70" s="22">
        <v>-76</v>
      </c>
      <c r="F70" s="18">
        <f>F178</f>
        <v>-216</v>
      </c>
      <c r="G70" s="18">
        <f t="shared" ref="G70:J70" si="24">G178</f>
        <v>-356</v>
      </c>
      <c r="H70" s="18">
        <f t="shared" si="24"/>
        <v>-496</v>
      </c>
      <c r="I70" s="18">
        <f t="shared" si="24"/>
        <v>-636</v>
      </c>
      <c r="J70" s="18">
        <f t="shared" si="24"/>
        <v>-776</v>
      </c>
    </row>
    <row r="71" spans="2:10" s="14" customFormat="1" x14ac:dyDescent="0.25">
      <c r="B71" s="41" t="s">
        <v>70</v>
      </c>
      <c r="D71" s="22">
        <v>5072</v>
      </c>
      <c r="E71" s="22">
        <v>6312</v>
      </c>
      <c r="F71" s="18">
        <f ca="1">F188</f>
        <v>7014.7851788974358</v>
      </c>
      <c r="G71" s="18">
        <f t="shared" ref="G71:J71" ca="1" si="25">G188</f>
        <v>7686.2170785871058</v>
      </c>
      <c r="H71" s="18">
        <f t="shared" ca="1" si="25"/>
        <v>8509.5566118803526</v>
      </c>
      <c r="I71" s="18">
        <f t="shared" ca="1" si="25"/>
        <v>9231.8897477553055</v>
      </c>
      <c r="J71" s="18">
        <f t="shared" ca="1" si="25"/>
        <v>10191.434325910137</v>
      </c>
    </row>
    <row r="72" spans="2:10" s="14" customFormat="1" x14ac:dyDescent="0.25">
      <c r="B72" s="41" t="s">
        <v>55</v>
      </c>
      <c r="D72" s="22">
        <v>-3565</v>
      </c>
      <c r="E72" s="22">
        <v>-3646</v>
      </c>
      <c r="F72" s="18">
        <f>F197</f>
        <v>-3646</v>
      </c>
      <c r="G72" s="18">
        <f t="shared" ref="G72:J72" si="26">G197</f>
        <v>-3646</v>
      </c>
      <c r="H72" s="18">
        <f t="shared" si="26"/>
        <v>-3646</v>
      </c>
      <c r="I72" s="18">
        <f t="shared" si="26"/>
        <v>-3646</v>
      </c>
      <c r="J72" s="18">
        <f t="shared" si="26"/>
        <v>-3646</v>
      </c>
    </row>
    <row r="73" spans="2:10" s="27" customFormat="1" ht="15.75" thickBot="1" x14ac:dyDescent="0.3">
      <c r="B73" s="23" t="s">
        <v>56</v>
      </c>
      <c r="C73" s="23"/>
      <c r="D73" s="24">
        <f t="shared" ref="D73:F73" si="27">SUM(D69:D72)</f>
        <v>5253</v>
      </c>
      <c r="E73" s="24">
        <f t="shared" si="27"/>
        <v>5808</v>
      </c>
      <c r="F73" s="24">
        <f t="shared" ca="1" si="27"/>
        <v>6413.8214808974353</v>
      </c>
      <c r="G73" s="24">
        <f t="shared" ref="G73:J73" ca="1" si="28">SUM(G69:G72)</f>
        <v>6989.3655901371058</v>
      </c>
      <c r="H73" s="24">
        <f t="shared" ca="1" si="28"/>
        <v>7719.0229434578523</v>
      </c>
      <c r="I73" s="24">
        <f t="shared" ca="1" si="28"/>
        <v>8359.7165325674559</v>
      </c>
      <c r="J73" s="24">
        <f t="shared" ca="1" si="28"/>
        <v>9243.0928564476853</v>
      </c>
    </row>
    <row r="74" spans="2:10" s="14" customFormat="1" ht="5.25" customHeight="1" thickTop="1" x14ac:dyDescent="0.25">
      <c r="B74" s="41"/>
    </row>
    <row r="75" spans="2:10" s="14" customFormat="1" x14ac:dyDescent="0.25">
      <c r="B75" s="42" t="s">
        <v>57</v>
      </c>
      <c r="D75" s="38">
        <f>ROUND(D59-SUM(D66,D73),3)</f>
        <v>0</v>
      </c>
      <c r="E75" s="38">
        <f t="shared" ref="E75:J75" si="29">ROUND(E59-SUM(E66,E73),3)</f>
        <v>0</v>
      </c>
      <c r="F75" s="38">
        <f t="shared" ca="1" si="29"/>
        <v>0</v>
      </c>
      <c r="G75" s="38">
        <f t="shared" ca="1" si="29"/>
        <v>0</v>
      </c>
      <c r="H75" s="38">
        <f t="shared" ca="1" si="29"/>
        <v>0</v>
      </c>
      <c r="I75" s="38">
        <f t="shared" ca="1" si="29"/>
        <v>0</v>
      </c>
      <c r="J75" s="38">
        <f t="shared" ca="1" si="29"/>
        <v>0</v>
      </c>
    </row>
    <row r="76" spans="2:10" s="14" customFormat="1" ht="5.25" customHeight="1" x14ac:dyDescent="0.25">
      <c r="B76" s="41"/>
    </row>
    <row r="77" spans="2:10" s="14" customFormat="1" x14ac:dyDescent="0.25">
      <c r="B77" s="27" t="s">
        <v>58</v>
      </c>
    </row>
    <row r="78" spans="2:10" s="14" customFormat="1" x14ac:dyDescent="0.25">
      <c r="B78" s="41" t="s">
        <v>59</v>
      </c>
      <c r="D78" s="18">
        <f>D64+D63-D52</f>
        <v>4149</v>
      </c>
      <c r="E78" s="18">
        <f t="shared" ref="E78:J78" si="30">E64+E63-E52</f>
        <v>1542</v>
      </c>
      <c r="F78" s="18">
        <f t="shared" ca="1" si="30"/>
        <v>845.32631410256408</v>
      </c>
      <c r="G78" s="18">
        <f t="shared" ca="1" si="30"/>
        <v>303.7734247378944</v>
      </c>
      <c r="H78" s="18">
        <f t="shared" ca="1" si="30"/>
        <v>-279.20601596410143</v>
      </c>
      <c r="I78" s="18">
        <f t="shared" ca="1" si="30"/>
        <v>-762.28779682401591</v>
      </c>
      <c r="J78" s="18">
        <f t="shared" ca="1" si="30"/>
        <v>-1466.6717220420737</v>
      </c>
    </row>
    <row r="79" spans="2:10" s="14" customFormat="1" x14ac:dyDescent="0.25">
      <c r="B79" s="41" t="s">
        <v>60</v>
      </c>
      <c r="D79" s="39">
        <f>D14/D59</f>
        <v>0.64958988839585852</v>
      </c>
      <c r="E79" s="39">
        <f t="shared" ref="E79:J79" si="31">E14/E59</f>
        <v>0.602512128663521</v>
      </c>
      <c r="F79" s="39">
        <f t="shared" ca="1" si="31"/>
        <v>0.62512951417028273</v>
      </c>
      <c r="G79" s="39">
        <f t="shared" ca="1" si="31"/>
        <v>0.66148552359342361</v>
      </c>
      <c r="H79" s="39">
        <f t="shared" ca="1" si="31"/>
        <v>0.6715584462985893</v>
      </c>
      <c r="I79" s="39">
        <f t="shared" ca="1" si="31"/>
        <v>0.71986153972592581</v>
      </c>
      <c r="J79" s="39">
        <f t="shared" ca="1" si="31"/>
        <v>0.72337266382135024</v>
      </c>
    </row>
    <row r="80" spans="2:10" s="14" customFormat="1" x14ac:dyDescent="0.25">
      <c r="B80" s="41" t="s">
        <v>61</v>
      </c>
      <c r="D80" s="29">
        <f>D28/D14</f>
        <v>3.7362864831297866E-2</v>
      </c>
      <c r="E80" s="29">
        <f>E28/E14</f>
        <v>0.14923891462607544</v>
      </c>
      <c r="F80" s="29">
        <f t="shared" ref="F80:J80" ca="1" si="32">F28/F14</f>
        <v>0.13954774277509208</v>
      </c>
      <c r="G80" s="29">
        <f t="shared" ca="1" si="32"/>
        <v>0.11446191286208911</v>
      </c>
      <c r="H80" s="29">
        <f t="shared" ca="1" si="32"/>
        <v>0.11935226794169768</v>
      </c>
      <c r="I80" s="29">
        <f t="shared" ca="1" si="32"/>
        <v>9.9724058735325874E-2</v>
      </c>
      <c r="J80" s="29">
        <f t="shared" ca="1" si="32"/>
        <v>0.11322483645000359</v>
      </c>
    </row>
    <row r="81" spans="1:10" s="14" customFormat="1" x14ac:dyDescent="0.25">
      <c r="B81" s="41" t="s">
        <v>62</v>
      </c>
      <c r="D81" s="43">
        <f>D28/D59</f>
        <v>2.4270539195912329E-2</v>
      </c>
      <c r="E81" s="43">
        <f>E28/E59</f>
        <v>8.9918256130790186E-2</v>
      </c>
      <c r="F81" s="43">
        <f t="shared" ref="F81:J81" ca="1" si="33">F28/F59</f>
        <v>8.7235412644552895E-2</v>
      </c>
      <c r="G81" s="43">
        <f t="shared" ca="1" si="33"/>
        <v>7.5714898361083846E-2</v>
      </c>
      <c r="H81" s="43">
        <f t="shared" ca="1" si="33"/>
        <v>8.015202362113942E-2</v>
      </c>
      <c r="I81" s="43">
        <f t="shared" ca="1" si="33"/>
        <v>7.1787514468930336E-2</v>
      </c>
      <c r="J81" s="43">
        <f t="shared" ca="1" si="33"/>
        <v>8.1903751553575793E-2</v>
      </c>
    </row>
    <row r="82" spans="1:10" s="14" customFormat="1" x14ac:dyDescent="0.25">
      <c r="B82" s="41" t="s">
        <v>63</v>
      </c>
      <c r="D82" s="29">
        <f>D28/D73</f>
        <v>6.8722634684941941E-2</v>
      </c>
      <c r="E82" s="29">
        <f>E28/E73</f>
        <v>0.23295454545454544</v>
      </c>
      <c r="F82" s="29">
        <f t="shared" ref="F82:J82" ca="1" si="34">F28/F73</f>
        <v>0.19922463357682718</v>
      </c>
      <c r="G82" s="29">
        <f t="shared" ca="1" si="34"/>
        <v>0.1537036553102093</v>
      </c>
      <c r="H82" s="29">
        <f t="shared" ca="1" si="34"/>
        <v>0.15237671165013666</v>
      </c>
      <c r="I82" s="29">
        <f t="shared" ca="1" si="34"/>
        <v>0.12343773569370541</v>
      </c>
      <c r="J82" s="29">
        <f t="shared" ca="1" si="34"/>
        <v>0.13309239404109419</v>
      </c>
    </row>
    <row r="83" spans="1:10" ht="5.25" customHeight="1" x14ac:dyDescent="0.25"/>
    <row r="84" spans="1:10" s="14" customFormat="1" ht="23.25" x14ac:dyDescent="0.35">
      <c r="A84" s="49"/>
      <c r="B84" s="50" t="s">
        <v>73</v>
      </c>
      <c r="C84" s="49"/>
      <c r="D84" s="49"/>
      <c r="E84" s="49"/>
      <c r="F84" s="49"/>
      <c r="G84" s="49"/>
      <c r="H84" s="49"/>
      <c r="I84" s="49"/>
      <c r="J84" s="49"/>
    </row>
    <row r="85" spans="1:10" s="14" customFormat="1" ht="5.25" customHeight="1" outlineLevel="1" x14ac:dyDescent="0.25"/>
    <row r="86" spans="1:10" s="14" customFormat="1" outlineLevel="1" x14ac:dyDescent="0.25">
      <c r="B86" s="27" t="s">
        <v>74</v>
      </c>
    </row>
    <row r="87" spans="1:10" s="14" customFormat="1" outlineLevel="1" x14ac:dyDescent="0.25">
      <c r="B87" s="14" t="s">
        <v>75</v>
      </c>
      <c r="F87" s="18">
        <f>E89</f>
        <v>4587</v>
      </c>
      <c r="G87" s="18">
        <f t="shared" ref="G87:J87" ca="1" si="35">F89</f>
        <v>4578.33</v>
      </c>
      <c r="H87" s="18">
        <f t="shared" ca="1" si="35"/>
        <v>4692.7882499999996</v>
      </c>
      <c r="I87" s="18">
        <f t="shared" ca="1" si="35"/>
        <v>4927.4276625000002</v>
      </c>
      <c r="J87" s="18">
        <f t="shared" ca="1" si="35"/>
        <v>5173.7990456250009</v>
      </c>
    </row>
    <row r="88" spans="1:10" s="14" customFormat="1" outlineLevel="1" x14ac:dyDescent="0.25">
      <c r="B88" s="14" t="s">
        <v>76</v>
      </c>
      <c r="F88" s="18">
        <f ca="1">F89-F87</f>
        <v>-8.6700000000000728</v>
      </c>
      <c r="G88" s="18">
        <f t="shared" ref="G88:J88" ca="1" si="36">G89-G87</f>
        <v>114.45824999999968</v>
      </c>
      <c r="H88" s="18">
        <f t="shared" ca="1" si="36"/>
        <v>234.63941250000062</v>
      </c>
      <c r="I88" s="18">
        <f t="shared" ca="1" si="36"/>
        <v>246.37138312500065</v>
      </c>
      <c r="J88" s="18">
        <f t="shared" ca="1" si="36"/>
        <v>258.68995228125004</v>
      </c>
    </row>
    <row r="89" spans="1:10" s="14" customFormat="1" outlineLevel="1" x14ac:dyDescent="0.25">
      <c r="B89" s="19" t="s">
        <v>77</v>
      </c>
      <c r="C89" s="19"/>
      <c r="D89" s="20">
        <f>D53</f>
        <v>4742</v>
      </c>
      <c r="E89" s="20">
        <f>E53</f>
        <v>4587</v>
      </c>
      <c r="F89" s="20">
        <f ca="1">F91*F14</f>
        <v>4578.33</v>
      </c>
      <c r="G89" s="20">
        <f ca="1">G91*G14</f>
        <v>4692.7882499999996</v>
      </c>
      <c r="H89" s="20">
        <f ca="1">H91*H14</f>
        <v>4927.4276625000002</v>
      </c>
      <c r="I89" s="20">
        <f ca="1">I91*I14</f>
        <v>5173.7990456250009</v>
      </c>
      <c r="J89" s="20">
        <f ca="1">J91*J14</f>
        <v>5432.4889979062509</v>
      </c>
    </row>
    <row r="90" spans="1:10" s="14" customFormat="1" ht="5.25" customHeight="1" outlineLevel="1" x14ac:dyDescent="0.25"/>
    <row r="91" spans="1:10" s="14" customFormat="1" outlineLevel="1" x14ac:dyDescent="0.25">
      <c r="B91" s="14" t="s">
        <v>78</v>
      </c>
      <c r="D91" s="29">
        <f>D89/D14</f>
        <v>0.49078865659283794</v>
      </c>
      <c r="E91" s="29">
        <f>E89/E14</f>
        <v>0.50595632031767046</v>
      </c>
      <c r="F91" s="31">
        <v>0.5</v>
      </c>
      <c r="G91" s="31">
        <v>0.5</v>
      </c>
      <c r="H91" s="31">
        <v>0.5</v>
      </c>
      <c r="I91" s="31">
        <v>0.5</v>
      </c>
      <c r="J91" s="31">
        <v>0.5</v>
      </c>
    </row>
    <row r="92" spans="1:10" s="14" customFormat="1" outlineLevel="1" x14ac:dyDescent="0.25">
      <c r="B92" s="14" t="s">
        <v>79</v>
      </c>
      <c r="D92" s="51">
        <f>D91*365</f>
        <v>179.13785965638584</v>
      </c>
      <c r="E92" s="51">
        <f t="shared" ref="E92:J92" si="37">E91*365</f>
        <v>184.67405691594971</v>
      </c>
      <c r="F92" s="51">
        <f t="shared" si="37"/>
        <v>182.5</v>
      </c>
      <c r="G92" s="51">
        <f t="shared" si="37"/>
        <v>182.5</v>
      </c>
      <c r="H92" s="51">
        <f t="shared" si="37"/>
        <v>182.5</v>
      </c>
      <c r="I92" s="51">
        <f t="shared" si="37"/>
        <v>182.5</v>
      </c>
      <c r="J92" s="51">
        <f t="shared" si="37"/>
        <v>182.5</v>
      </c>
    </row>
    <row r="93" spans="1:10" s="14" customFormat="1" ht="5.25" customHeight="1" outlineLevel="1" x14ac:dyDescent="0.25"/>
    <row r="94" spans="1:10" s="14" customFormat="1" outlineLevel="1" x14ac:dyDescent="0.25">
      <c r="B94" s="27" t="s">
        <v>44</v>
      </c>
    </row>
    <row r="95" spans="1:10" s="14" customFormat="1" outlineLevel="1" x14ac:dyDescent="0.25">
      <c r="B95" s="14" t="s">
        <v>75</v>
      </c>
      <c r="F95" s="18">
        <f>E97</f>
        <v>694</v>
      </c>
      <c r="G95" s="18">
        <f t="shared" ref="G95:J95" ca="1" si="38">F97</f>
        <v>727.9544699999999</v>
      </c>
      <c r="H95" s="18">
        <f t="shared" ca="1" si="38"/>
        <v>746.15333175000001</v>
      </c>
      <c r="I95" s="18">
        <f t="shared" ca="1" si="38"/>
        <v>783.46099833750009</v>
      </c>
      <c r="J95" s="18">
        <f t="shared" ca="1" si="38"/>
        <v>822.63404825437522</v>
      </c>
    </row>
    <row r="96" spans="1:10" s="14" customFormat="1" outlineLevel="1" x14ac:dyDescent="0.25">
      <c r="B96" s="14" t="s">
        <v>76</v>
      </c>
      <c r="F96" s="18">
        <f ca="1">F97-F95</f>
        <v>33.954469999999901</v>
      </c>
      <c r="G96" s="18">
        <f t="shared" ref="G96:J96" ca="1" si="39">G97-G95</f>
        <v>18.198861750000106</v>
      </c>
      <c r="H96" s="18">
        <f t="shared" ca="1" si="39"/>
        <v>37.30766658750008</v>
      </c>
      <c r="I96" s="18">
        <f t="shared" ca="1" si="39"/>
        <v>39.173049916875129</v>
      </c>
      <c r="J96" s="18">
        <f t="shared" ca="1" si="39"/>
        <v>41.131702412718596</v>
      </c>
    </row>
    <row r="97" spans="1:10" s="14" customFormat="1" outlineLevel="1" x14ac:dyDescent="0.25">
      <c r="B97" s="19" t="s">
        <v>77</v>
      </c>
      <c r="C97" s="19"/>
      <c r="D97" s="20">
        <f>D54</f>
        <v>829</v>
      </c>
      <c r="E97" s="20">
        <f>E54</f>
        <v>694</v>
      </c>
      <c r="F97" s="20">
        <f ca="1">-(F99*F15)</f>
        <v>727.9544699999999</v>
      </c>
      <c r="G97" s="20">
        <f ca="1">-(G99*G15)</f>
        <v>746.15333175000001</v>
      </c>
      <c r="H97" s="20">
        <f ca="1">-(H99*H15)</f>
        <v>783.46099833750009</v>
      </c>
      <c r="I97" s="20">
        <f ca="1">-(I99*I15)</f>
        <v>822.63404825437522</v>
      </c>
      <c r="J97" s="20">
        <f ca="1">-(J99*J15)</f>
        <v>863.76575066709381</v>
      </c>
    </row>
    <row r="98" spans="1:10" s="14" customFormat="1" ht="5.25" customHeight="1" outlineLevel="1" x14ac:dyDescent="0.25"/>
    <row r="99" spans="1:10" s="14" customFormat="1" outlineLevel="1" x14ac:dyDescent="0.25">
      <c r="B99" s="14" t="s">
        <v>80</v>
      </c>
      <c r="D99" s="29">
        <f>-(D97/D15)</f>
        <v>0.1431037459002244</v>
      </c>
      <c r="E99" s="29">
        <f>-(E97/E15)</f>
        <v>0.12813884785819793</v>
      </c>
      <c r="F99" s="31">
        <v>0.13250000000000001</v>
      </c>
      <c r="G99" s="31">
        <v>0.13250000000000001</v>
      </c>
      <c r="H99" s="31">
        <v>0.13250000000000001</v>
      </c>
      <c r="I99" s="31">
        <v>0.13250000000000001</v>
      </c>
      <c r="J99" s="31">
        <v>0.13250000000000001</v>
      </c>
    </row>
    <row r="100" spans="1:10" s="14" customFormat="1" ht="15" customHeight="1" outlineLevel="1" x14ac:dyDescent="0.25">
      <c r="B100" s="14" t="s">
        <v>81</v>
      </c>
      <c r="D100" s="39">
        <f>-(D15/D97)</f>
        <v>6.9879372738238841</v>
      </c>
      <c r="E100" s="39">
        <f t="shared" ref="E100:J100" si="40">-(E15/E97)</f>
        <v>7.804034582132565</v>
      </c>
      <c r="F100" s="39">
        <f t="shared" ca="1" si="40"/>
        <v>7.5471698113207548</v>
      </c>
      <c r="G100" s="39">
        <f t="shared" ca="1" si="40"/>
        <v>7.5471698113207539</v>
      </c>
      <c r="H100" s="39">
        <f t="shared" ca="1" si="40"/>
        <v>7.5471698113207539</v>
      </c>
      <c r="I100" s="39">
        <f t="shared" ca="1" si="40"/>
        <v>7.5471698113207539</v>
      </c>
      <c r="J100" s="39">
        <f t="shared" ca="1" si="40"/>
        <v>7.5471698113207548</v>
      </c>
    </row>
    <row r="101" spans="1:10" s="14" customFormat="1" ht="5.25" customHeight="1" outlineLevel="1" x14ac:dyDescent="0.25"/>
    <row r="102" spans="1:10" s="14" customFormat="1" outlineLevel="1" x14ac:dyDescent="0.25">
      <c r="B102" s="27" t="s">
        <v>82</v>
      </c>
    </row>
    <row r="103" spans="1:10" s="14" customFormat="1" outlineLevel="1" x14ac:dyDescent="0.25">
      <c r="B103" s="14" t="s">
        <v>75</v>
      </c>
      <c r="F103" s="18">
        <f>E105</f>
        <v>1053</v>
      </c>
      <c r="G103" s="18">
        <f t="shared" ref="G103:J103" ca="1" si="41">F105</f>
        <v>1098.7991999999999</v>
      </c>
      <c r="H103" s="18">
        <f t="shared" ca="1" si="41"/>
        <v>1126.2691799999998</v>
      </c>
      <c r="I103" s="18">
        <f t="shared" ca="1" si="41"/>
        <v>1182.582639</v>
      </c>
      <c r="J103" s="18">
        <f t="shared" ca="1" si="41"/>
        <v>1241.7117709500001</v>
      </c>
    </row>
    <row r="104" spans="1:10" s="14" customFormat="1" outlineLevel="1" x14ac:dyDescent="0.25">
      <c r="B104" s="14" t="s">
        <v>76</v>
      </c>
      <c r="F104" s="18">
        <f ca="1">F105-F103</f>
        <v>45.799199999999928</v>
      </c>
      <c r="G104" s="18">
        <f t="shared" ref="G104:J104" ca="1" si="42">G105-G103</f>
        <v>27.46997999999985</v>
      </c>
      <c r="H104" s="18">
        <f t="shared" ca="1" si="42"/>
        <v>56.313459000000194</v>
      </c>
      <c r="I104" s="18">
        <f t="shared" ca="1" si="42"/>
        <v>59.129131950000101</v>
      </c>
      <c r="J104" s="18">
        <f t="shared" ca="1" si="42"/>
        <v>62.085588547500038</v>
      </c>
    </row>
    <row r="105" spans="1:10" s="14" customFormat="1" outlineLevel="1" x14ac:dyDescent="0.25">
      <c r="B105" s="19" t="s">
        <v>77</v>
      </c>
      <c r="C105" s="19"/>
      <c r="D105" s="20">
        <f>D62</f>
        <v>1073</v>
      </c>
      <c r="E105" s="20">
        <f>E62</f>
        <v>1053</v>
      </c>
      <c r="F105" s="20">
        <f ca="1">F107*F14</f>
        <v>1098.7991999999999</v>
      </c>
      <c r="G105" s="20">
        <f ca="1">G107*G14</f>
        <v>1126.2691799999998</v>
      </c>
      <c r="H105" s="20">
        <f ca="1">H107*H14</f>
        <v>1182.582639</v>
      </c>
      <c r="I105" s="20">
        <f ca="1">I107*I14</f>
        <v>1241.7117709500001</v>
      </c>
      <c r="J105" s="20">
        <f ca="1">J107*J14</f>
        <v>1303.7973594975001</v>
      </c>
    </row>
    <row r="106" spans="1:10" s="14" customFormat="1" ht="5.25" customHeight="1" outlineLevel="1" x14ac:dyDescent="0.25"/>
    <row r="107" spans="1:10" s="14" customFormat="1" outlineLevel="1" x14ac:dyDescent="0.25">
      <c r="B107" s="14" t="s">
        <v>83</v>
      </c>
      <c r="D107" s="29">
        <f>D105/D14</f>
        <v>0.11105361208859449</v>
      </c>
      <c r="E107" s="29">
        <f>E105/E14</f>
        <v>0.11614824619457313</v>
      </c>
      <c r="F107" s="31">
        <v>0.12</v>
      </c>
      <c r="G107" s="31">
        <v>0.12</v>
      </c>
      <c r="H107" s="31">
        <v>0.12</v>
      </c>
      <c r="I107" s="31">
        <v>0.12</v>
      </c>
      <c r="J107" s="31">
        <v>0.12</v>
      </c>
    </row>
    <row r="108" spans="1:10" s="14" customFormat="1" outlineLevel="1" x14ac:dyDescent="0.25">
      <c r="B108" s="14" t="s">
        <v>84</v>
      </c>
      <c r="D108" s="51">
        <f>D107*365</f>
        <v>40.534568412336988</v>
      </c>
      <c r="E108" s="51">
        <f>E107*365</f>
        <v>42.394109861019196</v>
      </c>
      <c r="F108" s="51">
        <f t="shared" ref="F108:J108" si="43">F107*365</f>
        <v>43.8</v>
      </c>
      <c r="G108" s="51">
        <f t="shared" si="43"/>
        <v>43.8</v>
      </c>
      <c r="H108" s="51">
        <f t="shared" si="43"/>
        <v>43.8</v>
      </c>
      <c r="I108" s="51">
        <f t="shared" si="43"/>
        <v>43.8</v>
      </c>
      <c r="J108" s="51">
        <f t="shared" si="43"/>
        <v>43.8</v>
      </c>
    </row>
    <row r="109" spans="1:10" ht="5.25" customHeight="1" x14ac:dyDescent="0.25"/>
    <row r="110" spans="1:10" s="14" customFormat="1" ht="23.25" x14ac:dyDescent="0.35">
      <c r="A110" s="49"/>
      <c r="B110" s="50" t="s">
        <v>85</v>
      </c>
      <c r="C110" s="49"/>
      <c r="D110" s="49"/>
      <c r="E110" s="49"/>
      <c r="F110" s="49"/>
      <c r="G110" s="49"/>
      <c r="H110" s="49"/>
      <c r="I110" s="49"/>
      <c r="J110" s="49"/>
    </row>
    <row r="111" spans="1:10" s="14" customFormat="1" ht="5.25" customHeight="1" outlineLevel="1" x14ac:dyDescent="0.25"/>
    <row r="112" spans="1:10" s="14" customFormat="1" ht="15.75" outlineLevel="1" x14ac:dyDescent="0.25">
      <c r="B112" s="33" t="s">
        <v>75</v>
      </c>
      <c r="F112" s="21">
        <f>E115</f>
        <v>790</v>
      </c>
      <c r="G112" s="21">
        <f ca="1">F115</f>
        <v>755.66252499999996</v>
      </c>
      <c r="H112" s="21">
        <f ca="1">G115</f>
        <v>720.46661312499998</v>
      </c>
      <c r="I112" s="21">
        <f ca="1">H115</f>
        <v>683.51090565624997</v>
      </c>
      <c r="J112" s="21">
        <f ca="1">I115</f>
        <v>644.70741281406242</v>
      </c>
    </row>
    <row r="113" spans="1:10" s="14" customFormat="1" ht="15.75" outlineLevel="1" x14ac:dyDescent="0.25">
      <c r="B113" s="33" t="s">
        <v>86</v>
      </c>
      <c r="F113" s="21">
        <f ca="1">F117</f>
        <v>68.674949999999995</v>
      </c>
      <c r="G113" s="21">
        <f t="shared" ref="G113:J113" ca="1" si="44">G117</f>
        <v>70.391823749999986</v>
      </c>
      <c r="H113" s="21">
        <f t="shared" ca="1" si="44"/>
        <v>73.911414937499998</v>
      </c>
      <c r="I113" s="21">
        <f t="shared" ca="1" si="44"/>
        <v>77.606985684375005</v>
      </c>
      <c r="J113" s="21">
        <f t="shared" ca="1" si="44"/>
        <v>81.487334968593757</v>
      </c>
    </row>
    <row r="114" spans="1:10" s="14" customFormat="1" ht="15.75" outlineLevel="1" x14ac:dyDescent="0.25">
      <c r="B114" s="33" t="s">
        <v>87</v>
      </c>
      <c r="F114" s="21">
        <f ca="1">F119</f>
        <v>-103.01242499999999</v>
      </c>
      <c r="G114" s="21">
        <f t="shared" ref="G114:J114" ca="1" si="45">G119</f>
        <v>-105.58773562499998</v>
      </c>
      <c r="H114" s="21">
        <f t="shared" ca="1" si="45"/>
        <v>-110.86712240624999</v>
      </c>
      <c r="I114" s="21">
        <f t="shared" ca="1" si="45"/>
        <v>-116.41047852656251</v>
      </c>
      <c r="J114" s="21">
        <f t="shared" ca="1" si="45"/>
        <v>-122.23100245289064</v>
      </c>
    </row>
    <row r="115" spans="1:10" s="14" customFormat="1" ht="15.75" outlineLevel="1" x14ac:dyDescent="0.25">
      <c r="B115" s="52" t="s">
        <v>77</v>
      </c>
      <c r="C115" s="19"/>
      <c r="D115" s="53">
        <f>D55</f>
        <v>940</v>
      </c>
      <c r="E115" s="53">
        <f>E55</f>
        <v>790</v>
      </c>
      <c r="F115" s="53">
        <f ca="1">SUM(F112:F114)</f>
        <v>755.66252499999996</v>
      </c>
      <c r="G115" s="53">
        <f ca="1">SUM(G112:G114)</f>
        <v>720.46661312499998</v>
      </c>
      <c r="H115" s="53">
        <f ca="1">SUM(H112:H114)</f>
        <v>683.51090565624997</v>
      </c>
      <c r="I115" s="53">
        <f ca="1">SUM(I112:I114)</f>
        <v>644.70741281406242</v>
      </c>
      <c r="J115" s="53">
        <f ca="1">SUM(J112:J114)</f>
        <v>603.96374532976552</v>
      </c>
    </row>
    <row r="116" spans="1:10" s="14" customFormat="1" ht="5.25" customHeight="1" outlineLevel="1" x14ac:dyDescent="0.25">
      <c r="B116" s="33"/>
    </row>
    <row r="117" spans="1:10" s="14" customFormat="1" ht="15.75" outlineLevel="1" x14ac:dyDescent="0.25">
      <c r="B117" s="33" t="s">
        <v>88</v>
      </c>
      <c r="D117" s="22">
        <v>90</v>
      </c>
      <c r="E117" s="22">
        <v>65</v>
      </c>
      <c r="F117" s="18">
        <f ca="1">F118*F14</f>
        <v>68.674949999999995</v>
      </c>
      <c r="G117" s="18">
        <f ca="1">G118*G14</f>
        <v>70.391823749999986</v>
      </c>
      <c r="H117" s="18">
        <f ca="1">H118*H14</f>
        <v>73.911414937499998</v>
      </c>
      <c r="I117" s="21">
        <f ca="1">I118*I14</f>
        <v>77.606985684375005</v>
      </c>
      <c r="J117" s="21">
        <f ca="1">J118*J14</f>
        <v>81.487334968593757</v>
      </c>
    </row>
    <row r="118" spans="1:10" s="14" customFormat="1" ht="15.75" outlineLevel="1" x14ac:dyDescent="0.25">
      <c r="B118" s="33" t="s">
        <v>89</v>
      </c>
      <c r="D118" s="29">
        <f>D117/D14</f>
        <v>9.3148416476919894E-3</v>
      </c>
      <c r="E118" s="29">
        <f>E117/E14</f>
        <v>7.1696448268255015E-3</v>
      </c>
      <c r="F118" s="31">
        <v>7.4999999999999997E-3</v>
      </c>
      <c r="G118" s="31">
        <v>7.4999999999999997E-3</v>
      </c>
      <c r="H118" s="31">
        <v>7.4999999999999997E-3</v>
      </c>
      <c r="I118" s="31">
        <v>7.4999999999999997E-3</v>
      </c>
      <c r="J118" s="31">
        <v>7.4999999999999997E-3</v>
      </c>
    </row>
    <row r="119" spans="1:10" s="14" customFormat="1" ht="15.75" outlineLevel="1" x14ac:dyDescent="0.25">
      <c r="B119" s="33" t="s">
        <v>90</v>
      </c>
      <c r="D119" s="22">
        <v>-148</v>
      </c>
      <c r="E119" s="22">
        <v>-101</v>
      </c>
      <c r="F119" s="18">
        <f ca="1">-(F120*F117)</f>
        <v>-103.01242499999999</v>
      </c>
      <c r="G119" s="18">
        <f ca="1">-(G120*G117)</f>
        <v>-105.58773562499998</v>
      </c>
      <c r="H119" s="18">
        <f ca="1">-(H120*H117)</f>
        <v>-110.86712240624999</v>
      </c>
      <c r="I119" s="21">
        <f ca="1">-(I120*I117)</f>
        <v>-116.41047852656251</v>
      </c>
      <c r="J119" s="21">
        <f ca="1">-(J120*J117)</f>
        <v>-122.23100245289064</v>
      </c>
    </row>
    <row r="120" spans="1:10" s="14" customFormat="1" ht="15.75" outlineLevel="1" x14ac:dyDescent="0.25">
      <c r="B120" s="33" t="s">
        <v>91</v>
      </c>
      <c r="D120" s="29">
        <f>-(D119/D117)</f>
        <v>1.6444444444444444</v>
      </c>
      <c r="E120" s="29">
        <f>-(E119/E117)</f>
        <v>1.5538461538461539</v>
      </c>
      <c r="F120" s="31">
        <v>1.5</v>
      </c>
      <c r="G120" s="31">
        <v>1.5</v>
      </c>
      <c r="H120" s="31">
        <v>1.5</v>
      </c>
      <c r="I120" s="31">
        <v>1.5</v>
      </c>
      <c r="J120" s="31">
        <v>1.5</v>
      </c>
    </row>
    <row r="122" spans="1:10" s="14" customFormat="1" ht="23.25" x14ac:dyDescent="0.35">
      <c r="A122" s="49"/>
      <c r="B122" s="50" t="s">
        <v>69</v>
      </c>
      <c r="C122" s="49"/>
      <c r="D122" s="49"/>
      <c r="E122" s="49"/>
      <c r="F122" s="49"/>
      <c r="G122" s="49"/>
      <c r="H122" s="49"/>
      <c r="I122" s="49"/>
      <c r="J122" s="49"/>
    </row>
    <row r="123" spans="1:10" ht="5.25" customHeight="1" x14ac:dyDescent="0.25"/>
    <row r="124" spans="1:10" x14ac:dyDescent="0.25">
      <c r="B124" s="54" t="s">
        <v>75</v>
      </c>
      <c r="F124" s="59">
        <f>E127</f>
        <v>4099</v>
      </c>
      <c r="G124" s="59">
        <f t="shared" ref="G124:J124" si="46">F127</f>
        <v>4063</v>
      </c>
      <c r="H124" s="59">
        <f t="shared" si="46"/>
        <v>4027</v>
      </c>
      <c r="I124" s="59">
        <f t="shared" si="46"/>
        <v>3995</v>
      </c>
      <c r="J124" s="59">
        <f t="shared" si="46"/>
        <v>3965</v>
      </c>
    </row>
    <row r="125" spans="1:10" x14ac:dyDescent="0.25">
      <c r="B125" s="55" t="s">
        <v>92</v>
      </c>
      <c r="F125" s="59">
        <f>F129</f>
        <v>0</v>
      </c>
      <c r="G125" s="59">
        <f t="shared" ref="G125:J126" si="47">G129</f>
        <v>0</v>
      </c>
      <c r="H125" s="59">
        <f t="shared" si="47"/>
        <v>0</v>
      </c>
      <c r="I125" s="59">
        <f t="shared" si="47"/>
        <v>0</v>
      </c>
      <c r="J125" s="59">
        <f t="shared" si="47"/>
        <v>0</v>
      </c>
    </row>
    <row r="126" spans="1:10" x14ac:dyDescent="0.25">
      <c r="B126" s="55" t="s">
        <v>93</v>
      </c>
      <c r="F126" s="59">
        <f>F130</f>
        <v>-36</v>
      </c>
      <c r="G126" s="59">
        <f t="shared" si="47"/>
        <v>-36</v>
      </c>
      <c r="H126" s="59">
        <f t="shared" si="47"/>
        <v>-32</v>
      </c>
      <c r="I126" s="59">
        <f t="shared" si="47"/>
        <v>-30</v>
      </c>
      <c r="J126" s="59">
        <f t="shared" si="47"/>
        <v>-18</v>
      </c>
    </row>
    <row r="127" spans="1:10" x14ac:dyDescent="0.25">
      <c r="B127" s="57" t="s">
        <v>77</v>
      </c>
      <c r="C127" s="58"/>
      <c r="D127" s="60">
        <f>D56</f>
        <v>4078</v>
      </c>
      <c r="E127" s="60">
        <f>E56</f>
        <v>4099</v>
      </c>
      <c r="F127" s="60">
        <f>SUM(F124:F126)</f>
        <v>4063</v>
      </c>
      <c r="G127" s="60">
        <f t="shared" ref="G127:J127" si="48">SUM(G124:G126)</f>
        <v>4027</v>
      </c>
      <c r="H127" s="60">
        <f t="shared" si="48"/>
        <v>3995</v>
      </c>
      <c r="I127" s="60">
        <f t="shared" si="48"/>
        <v>3965</v>
      </c>
      <c r="J127" s="60">
        <f t="shared" si="48"/>
        <v>3947</v>
      </c>
    </row>
    <row r="128" spans="1:10" ht="5.25" customHeight="1" x14ac:dyDescent="0.25">
      <c r="B128" s="14"/>
    </row>
    <row r="129" spans="1:10" x14ac:dyDescent="0.25">
      <c r="B129" s="54" t="s">
        <v>94</v>
      </c>
      <c r="D129" s="22">
        <v>220</v>
      </c>
      <c r="E129" s="22">
        <v>199</v>
      </c>
      <c r="F129" s="22">
        <v>0</v>
      </c>
      <c r="G129" s="22">
        <v>0</v>
      </c>
      <c r="H129" s="22">
        <v>0</v>
      </c>
      <c r="I129" s="22">
        <v>0</v>
      </c>
      <c r="J129" s="22">
        <v>0</v>
      </c>
    </row>
    <row r="130" spans="1:10" x14ac:dyDescent="0.25">
      <c r="B130" s="54" t="s">
        <v>95</v>
      </c>
      <c r="D130" s="22">
        <v>-48</v>
      </c>
      <c r="E130" s="22">
        <v>-45</v>
      </c>
      <c r="F130" s="22">
        <v>-36</v>
      </c>
      <c r="G130" s="22">
        <v>-36</v>
      </c>
      <c r="H130" s="22">
        <v>-32</v>
      </c>
      <c r="I130" s="22">
        <v>-30</v>
      </c>
      <c r="J130" s="22">
        <v>-18</v>
      </c>
    </row>
    <row r="131" spans="1:10" ht="5.25" customHeight="1" x14ac:dyDescent="0.25"/>
    <row r="132" spans="1:10" s="14" customFormat="1" ht="23.25" x14ac:dyDescent="0.35">
      <c r="A132" s="49"/>
      <c r="B132" s="50" t="s">
        <v>96</v>
      </c>
      <c r="C132" s="49"/>
      <c r="D132" s="49"/>
      <c r="E132" s="49"/>
      <c r="F132" s="49"/>
      <c r="G132" s="49"/>
      <c r="H132" s="49"/>
      <c r="I132" s="49"/>
      <c r="J132" s="49"/>
    </row>
    <row r="133" spans="1:10" ht="5.25" customHeight="1" x14ac:dyDescent="0.25"/>
    <row r="134" spans="1:10" x14ac:dyDescent="0.25">
      <c r="B134" s="56" t="s">
        <v>67</v>
      </c>
    </row>
    <row r="135" spans="1:10" x14ac:dyDescent="0.25">
      <c r="B135" s="1" t="s">
        <v>75</v>
      </c>
      <c r="F135" s="59">
        <f>E137</f>
        <v>1539</v>
      </c>
      <c r="G135" s="59">
        <f t="shared" ref="G135:J135" si="49">F137</f>
        <v>1539</v>
      </c>
      <c r="H135" s="59">
        <f t="shared" si="49"/>
        <v>1539</v>
      </c>
      <c r="I135" s="59">
        <f t="shared" si="49"/>
        <v>1539</v>
      </c>
      <c r="J135" s="59">
        <f t="shared" si="49"/>
        <v>1539</v>
      </c>
    </row>
    <row r="136" spans="1:10" x14ac:dyDescent="0.25">
      <c r="B136" s="1" t="s">
        <v>76</v>
      </c>
      <c r="F136" s="59">
        <v>0</v>
      </c>
      <c r="G136" s="59">
        <v>0</v>
      </c>
      <c r="H136" s="59">
        <v>0</v>
      </c>
      <c r="I136" s="59">
        <v>0</v>
      </c>
      <c r="J136" s="59">
        <v>0</v>
      </c>
    </row>
    <row r="137" spans="1:10" x14ac:dyDescent="0.25">
      <c r="B137" s="58" t="s">
        <v>77</v>
      </c>
      <c r="C137" s="58"/>
      <c r="D137" s="60">
        <f>D58</f>
        <v>2464</v>
      </c>
      <c r="E137" s="60">
        <f>E58</f>
        <v>1539</v>
      </c>
      <c r="F137" s="60">
        <f>SUM(F135:F136)</f>
        <v>1539</v>
      </c>
      <c r="G137" s="60">
        <f t="shared" ref="G137:J137" si="50">SUM(G135:G136)</f>
        <v>1539</v>
      </c>
      <c r="H137" s="60">
        <f t="shared" si="50"/>
        <v>1539</v>
      </c>
      <c r="I137" s="60">
        <f t="shared" si="50"/>
        <v>1539</v>
      </c>
      <c r="J137" s="60">
        <f t="shared" si="50"/>
        <v>1539</v>
      </c>
    </row>
    <row r="138" spans="1:10" ht="5.25" customHeight="1" x14ac:dyDescent="0.25"/>
    <row r="139" spans="1:10" x14ac:dyDescent="0.25">
      <c r="B139" s="56" t="s">
        <v>97</v>
      </c>
    </row>
    <row r="140" spans="1:10" x14ac:dyDescent="0.25">
      <c r="B140" s="1" t="s">
        <v>75</v>
      </c>
      <c r="F140" s="59">
        <f>E142</f>
        <v>3904</v>
      </c>
      <c r="G140" s="59">
        <f t="shared" ref="G140:J140" si="51">F142</f>
        <v>3904</v>
      </c>
      <c r="H140" s="59">
        <f t="shared" si="51"/>
        <v>3904</v>
      </c>
      <c r="I140" s="59">
        <f t="shared" si="51"/>
        <v>3904</v>
      </c>
      <c r="J140" s="59">
        <f t="shared" si="51"/>
        <v>3904</v>
      </c>
    </row>
    <row r="141" spans="1:10" x14ac:dyDescent="0.25">
      <c r="B141" s="1" t="s">
        <v>76</v>
      </c>
      <c r="F141" s="59">
        <v>0</v>
      </c>
      <c r="G141" s="59">
        <v>0</v>
      </c>
      <c r="H141" s="59">
        <v>0</v>
      </c>
      <c r="I141" s="59">
        <v>0</v>
      </c>
      <c r="J141" s="59">
        <v>0</v>
      </c>
    </row>
    <row r="142" spans="1:10" x14ac:dyDescent="0.25">
      <c r="B142" s="58" t="s">
        <v>77</v>
      </c>
      <c r="C142" s="58"/>
      <c r="D142" s="60">
        <f>D65</f>
        <v>3318</v>
      </c>
      <c r="E142" s="60">
        <f>E65</f>
        <v>3904</v>
      </c>
      <c r="F142" s="60">
        <f>SUM(F140:F141)</f>
        <v>3904</v>
      </c>
      <c r="G142" s="60">
        <f t="shared" ref="G142:J142" si="52">SUM(G140:G141)</f>
        <v>3904</v>
      </c>
      <c r="H142" s="60">
        <f t="shared" si="52"/>
        <v>3904</v>
      </c>
      <c r="I142" s="60">
        <f t="shared" si="52"/>
        <v>3904</v>
      </c>
      <c r="J142" s="60">
        <f t="shared" si="52"/>
        <v>3904</v>
      </c>
    </row>
    <row r="143" spans="1:10" ht="5.25" customHeight="1" x14ac:dyDescent="0.25">
      <c r="B143" s="63"/>
      <c r="C143" s="63"/>
      <c r="D143" s="64"/>
      <c r="E143" s="64"/>
      <c r="F143" s="64"/>
      <c r="G143" s="64"/>
      <c r="H143" s="64"/>
      <c r="I143" s="64"/>
      <c r="J143" s="64"/>
    </row>
    <row r="144" spans="1:10" x14ac:dyDescent="0.25">
      <c r="B144" s="56" t="s">
        <v>65</v>
      </c>
    </row>
    <row r="145" spans="1:11" x14ac:dyDescent="0.25">
      <c r="B145" s="1" t="s">
        <v>75</v>
      </c>
      <c r="F145" s="59">
        <f>E147</f>
        <v>598</v>
      </c>
      <c r="G145" s="59">
        <f t="shared" ref="G145:J145" si="53">F147</f>
        <v>598</v>
      </c>
      <c r="H145" s="59">
        <f t="shared" si="53"/>
        <v>598</v>
      </c>
      <c r="I145" s="59">
        <f t="shared" si="53"/>
        <v>598</v>
      </c>
      <c r="J145" s="59">
        <f t="shared" si="53"/>
        <v>598</v>
      </c>
    </row>
    <row r="146" spans="1:11" x14ac:dyDescent="0.25">
      <c r="B146" s="1" t="s">
        <v>76</v>
      </c>
      <c r="F146" s="59">
        <v>0</v>
      </c>
      <c r="G146" s="59">
        <v>0</v>
      </c>
      <c r="H146" s="59">
        <v>0</v>
      </c>
      <c r="I146" s="59">
        <v>0</v>
      </c>
      <c r="J146" s="59">
        <v>0</v>
      </c>
    </row>
    <row r="147" spans="1:11" x14ac:dyDescent="0.25">
      <c r="B147" s="58" t="s">
        <v>77</v>
      </c>
      <c r="C147" s="58"/>
      <c r="D147" s="60">
        <f>D57</f>
        <v>740</v>
      </c>
      <c r="E147" s="60">
        <f t="shared" ref="E147" si="54">E57</f>
        <v>598</v>
      </c>
      <c r="F147" s="60">
        <f>SUM(F145:F146)</f>
        <v>598</v>
      </c>
      <c r="G147" s="60">
        <f t="shared" ref="G147" si="55">SUM(G145:G146)</f>
        <v>598</v>
      </c>
      <c r="H147" s="60">
        <f t="shared" ref="H147" si="56">SUM(H145:H146)</f>
        <v>598</v>
      </c>
      <c r="I147" s="60">
        <f t="shared" ref="I147" si="57">SUM(I145:I146)</f>
        <v>598</v>
      </c>
      <c r="J147" s="60">
        <f t="shared" ref="J147" si="58">SUM(J145:J146)</f>
        <v>598</v>
      </c>
    </row>
    <row r="148" spans="1:11" ht="5.25" customHeight="1" x14ac:dyDescent="0.25"/>
    <row r="149" spans="1:11" s="14" customFormat="1" ht="23.25" x14ac:dyDescent="0.35">
      <c r="A149" s="49"/>
      <c r="B149" s="50" t="s">
        <v>98</v>
      </c>
      <c r="C149" s="49"/>
      <c r="D149" s="49"/>
      <c r="E149" s="49"/>
      <c r="F149" s="49"/>
      <c r="G149" s="49"/>
      <c r="H149" s="49"/>
      <c r="I149" s="49"/>
      <c r="J149" s="49"/>
    </row>
    <row r="150" spans="1:11" s="14" customFormat="1" ht="5.25" customHeight="1" outlineLevel="1" x14ac:dyDescent="0.25"/>
    <row r="151" spans="1:11" s="14" customFormat="1" outlineLevel="1" x14ac:dyDescent="0.25">
      <c r="B151" s="27" t="s">
        <v>49</v>
      </c>
    </row>
    <row r="152" spans="1:11" s="14" customFormat="1" outlineLevel="1" x14ac:dyDescent="0.25">
      <c r="B152" s="41" t="s">
        <v>75</v>
      </c>
      <c r="F152" s="18">
        <f>E155</f>
        <v>4282</v>
      </c>
      <c r="G152" s="18">
        <f>F155</f>
        <v>3231</v>
      </c>
      <c r="H152" s="18">
        <f>G155</f>
        <v>2169</v>
      </c>
      <c r="I152" s="18">
        <f>H155</f>
        <v>1869</v>
      </c>
      <c r="J152" s="18">
        <f>I155</f>
        <v>869</v>
      </c>
    </row>
    <row r="153" spans="1:11" s="14" customFormat="1" outlineLevel="1" x14ac:dyDescent="0.25">
      <c r="B153" s="41" t="s">
        <v>99</v>
      </c>
      <c r="F153" s="22">
        <v>-1051</v>
      </c>
      <c r="G153" s="22">
        <v>-1062</v>
      </c>
      <c r="H153" s="22">
        <v>-300</v>
      </c>
      <c r="I153" s="22">
        <v>-1000</v>
      </c>
      <c r="J153" s="22">
        <v>-300</v>
      </c>
    </row>
    <row r="154" spans="1:11" s="14" customFormat="1" outlineLevel="1" x14ac:dyDescent="0.25">
      <c r="B154" s="41" t="s">
        <v>100</v>
      </c>
      <c r="F154" s="18">
        <f>F157*F161</f>
        <v>0</v>
      </c>
      <c r="G154" s="18">
        <f t="shared" ref="G154:J154" si="59">G157*G161</f>
        <v>0</v>
      </c>
      <c r="H154" s="18">
        <f t="shared" si="59"/>
        <v>0</v>
      </c>
      <c r="I154" s="18">
        <f t="shared" si="59"/>
        <v>0</v>
      </c>
      <c r="J154" s="18">
        <f t="shared" si="59"/>
        <v>0</v>
      </c>
    </row>
    <row r="155" spans="1:11" s="14" customFormat="1" outlineLevel="1" x14ac:dyDescent="0.25">
      <c r="B155" s="19" t="s">
        <v>77</v>
      </c>
      <c r="C155" s="19"/>
      <c r="D155" s="20">
        <f>D64</f>
        <v>5230</v>
      </c>
      <c r="E155" s="20">
        <f>E64</f>
        <v>4282</v>
      </c>
      <c r="F155" s="20">
        <f>SUM(F152:F154)</f>
        <v>3231</v>
      </c>
      <c r="G155" s="20">
        <f>SUM(G152:G154)</f>
        <v>2169</v>
      </c>
      <c r="H155" s="20">
        <f>SUM(H152:H154)</f>
        <v>1869</v>
      </c>
      <c r="I155" s="20">
        <f>SUM(I152:I154)</f>
        <v>869</v>
      </c>
      <c r="J155" s="20">
        <f>SUM(J152:J154)</f>
        <v>569</v>
      </c>
    </row>
    <row r="156" spans="1:11" s="14" customFormat="1" ht="5.25" customHeight="1" outlineLevel="1" x14ac:dyDescent="0.25">
      <c r="B156" s="41"/>
    </row>
    <row r="157" spans="1:11" s="14" customFormat="1" outlineLevel="1" x14ac:dyDescent="0.25">
      <c r="B157" s="41" t="s">
        <v>101</v>
      </c>
      <c r="F157" s="18">
        <f>313*0.025+362*0.0347+376*0.0267+1062*0.0454+300*0.0407+1000*0.0368+300*0.0384+250*0.0484+350*0.0678</f>
        <v>175.00039999999998</v>
      </c>
      <c r="G157" s="18">
        <f>1062*0.0454+300*0.0407+1000*0.0368+300*0.0384+250*0.0484+350*0.0678</f>
        <v>144.57479999999998</v>
      </c>
      <c r="H157" s="18">
        <f>300*0.0407+1000*0.0368+300*0.0384+250*0.0484+350*0.0678</f>
        <v>96.36</v>
      </c>
      <c r="I157" s="18">
        <f>1000*0.0368+300*0.0384+250*0.0484+350*0.0678</f>
        <v>84.149999999999991</v>
      </c>
      <c r="J157" s="18">
        <f>300*0.0384+250*0.0484+350*0.0678</f>
        <v>47.349999999999994</v>
      </c>
    </row>
    <row r="158" spans="1:11" s="14" customFormat="1" ht="15.75" customHeight="1" outlineLevel="1" x14ac:dyDescent="0.25">
      <c r="B158" s="41" t="s">
        <v>102</v>
      </c>
      <c r="F158" s="62">
        <f>F157/AVERAGE(E155:F155)</f>
        <v>4.6586024224677225E-2</v>
      </c>
      <c r="G158" s="62">
        <f t="shared" ref="G158:J158" si="60">G157/AVERAGE(F155:G155)</f>
        <v>5.3546222222222217E-2</v>
      </c>
      <c r="H158" s="62">
        <f t="shared" si="60"/>
        <v>4.7726597325408619E-2</v>
      </c>
      <c r="I158" s="62">
        <f t="shared" si="60"/>
        <v>6.1468224981738491E-2</v>
      </c>
      <c r="J158" s="62">
        <f t="shared" si="60"/>
        <v>6.5855354659248952E-2</v>
      </c>
      <c r="K158" s="28"/>
    </row>
    <row r="159" spans="1:11" s="14" customFormat="1" ht="5.25" customHeight="1" outlineLevel="1" x14ac:dyDescent="0.25">
      <c r="B159" s="41"/>
    </row>
    <row r="160" spans="1:11" s="14" customFormat="1" outlineLevel="1" x14ac:dyDescent="0.25">
      <c r="B160" s="41" t="s">
        <v>103</v>
      </c>
      <c r="F160" s="31">
        <v>1</v>
      </c>
      <c r="G160" s="31">
        <v>1</v>
      </c>
      <c r="H160" s="31">
        <v>1</v>
      </c>
      <c r="I160" s="31">
        <v>1</v>
      </c>
      <c r="J160" s="31">
        <v>1</v>
      </c>
    </row>
    <row r="161" spans="1:10" s="14" customFormat="1" outlineLevel="1" x14ac:dyDescent="0.25">
      <c r="B161" s="41" t="s">
        <v>104</v>
      </c>
      <c r="F161" s="29">
        <f>1-F160</f>
        <v>0</v>
      </c>
      <c r="G161" s="29">
        <f t="shared" ref="G161:J161" si="61">1-G160</f>
        <v>0</v>
      </c>
      <c r="H161" s="29">
        <f t="shared" si="61"/>
        <v>0</v>
      </c>
      <c r="I161" s="29">
        <f t="shared" si="61"/>
        <v>0</v>
      </c>
      <c r="J161" s="29">
        <f t="shared" si="61"/>
        <v>0</v>
      </c>
    </row>
    <row r="162" spans="1:10" ht="5.25" customHeight="1" x14ac:dyDescent="0.25"/>
    <row r="163" spans="1:10" s="14" customFormat="1" ht="23.25" x14ac:dyDescent="0.35">
      <c r="A163" s="49"/>
      <c r="B163" s="50" t="s">
        <v>105</v>
      </c>
      <c r="C163" s="49"/>
      <c r="D163" s="49"/>
      <c r="E163" s="49"/>
      <c r="F163" s="49"/>
      <c r="G163" s="49"/>
      <c r="H163" s="49"/>
      <c r="I163" s="49"/>
      <c r="J163" s="49"/>
    </row>
    <row r="164" spans="1:10" s="14" customFormat="1" ht="5.25" customHeight="1" outlineLevel="1" x14ac:dyDescent="0.25"/>
    <row r="165" spans="1:10" s="14" customFormat="1" outlineLevel="1" x14ac:dyDescent="0.25">
      <c r="B165" s="27" t="s">
        <v>113</v>
      </c>
    </row>
    <row r="166" spans="1:10" s="14" customFormat="1" outlineLevel="1" x14ac:dyDescent="0.25">
      <c r="B166" s="41" t="s">
        <v>75</v>
      </c>
      <c r="F166" s="18">
        <f>E169</f>
        <v>3218</v>
      </c>
      <c r="G166" s="18">
        <f t="shared" ref="G166:J166" ca="1" si="62">F169</f>
        <v>3261.036302</v>
      </c>
      <c r="H166" s="18">
        <f t="shared" ca="1" si="62"/>
        <v>3305.14851155</v>
      </c>
      <c r="I166" s="18">
        <f t="shared" ca="1" si="62"/>
        <v>3351.4663315775001</v>
      </c>
      <c r="J166" s="18">
        <f t="shared" ca="1" si="62"/>
        <v>3409.82678481215</v>
      </c>
    </row>
    <row r="167" spans="1:10" s="14" customFormat="1" outlineLevel="1" x14ac:dyDescent="0.25">
      <c r="B167" s="41" t="s">
        <v>106</v>
      </c>
      <c r="F167" s="18">
        <f>F171</f>
        <v>0</v>
      </c>
      <c r="G167" s="18">
        <f t="shared" ref="G167:J167" si="63">G171</f>
        <v>0</v>
      </c>
      <c r="H167" s="18">
        <f t="shared" si="63"/>
        <v>0</v>
      </c>
      <c r="I167" s="18">
        <f t="shared" si="63"/>
        <v>0</v>
      </c>
      <c r="J167" s="18">
        <f t="shared" si="63"/>
        <v>0</v>
      </c>
    </row>
    <row r="168" spans="1:10" s="14" customFormat="1" outlineLevel="1" x14ac:dyDescent="0.25">
      <c r="B168" s="41" t="s">
        <v>107</v>
      </c>
      <c r="F168" s="18">
        <f ca="1">F172</f>
        <v>43.036301999999999</v>
      </c>
      <c r="G168" s="18">
        <f t="shared" ref="G168:J168" ca="1" si="64">G172</f>
        <v>44.112209549999996</v>
      </c>
      <c r="H168" s="18">
        <f t="shared" ca="1" si="64"/>
        <v>46.317820027500005</v>
      </c>
      <c r="I168" s="18">
        <f t="shared" ca="1" si="64"/>
        <v>58.360453234650009</v>
      </c>
      <c r="J168" s="18">
        <f t="shared" ca="1" si="64"/>
        <v>63.831745725398449</v>
      </c>
    </row>
    <row r="169" spans="1:10" s="14" customFormat="1" outlineLevel="1" x14ac:dyDescent="0.25">
      <c r="B169" s="19" t="s">
        <v>77</v>
      </c>
      <c r="C169" s="19"/>
      <c r="D169" s="20">
        <f>D69</f>
        <v>3801</v>
      </c>
      <c r="E169" s="20">
        <f>E69</f>
        <v>3218</v>
      </c>
      <c r="F169" s="20">
        <f ca="1">SUM(F166:F168)</f>
        <v>3261.036302</v>
      </c>
      <c r="G169" s="20">
        <f t="shared" ref="G169:J169" ca="1" si="65">SUM(G166:G168)</f>
        <v>3305.14851155</v>
      </c>
      <c r="H169" s="20">
        <f t="shared" ca="1" si="65"/>
        <v>3351.4663315775001</v>
      </c>
      <c r="I169" s="20">
        <f t="shared" ca="1" si="65"/>
        <v>3409.82678481215</v>
      </c>
      <c r="J169" s="20">
        <f t="shared" ca="1" si="65"/>
        <v>3473.6585305375484</v>
      </c>
    </row>
    <row r="170" spans="1:10" s="14" customFormat="1" ht="5.25" customHeight="1" outlineLevel="1" x14ac:dyDescent="0.25">
      <c r="B170" s="41"/>
    </row>
    <row r="171" spans="1:10" s="14" customFormat="1" outlineLevel="1" x14ac:dyDescent="0.25">
      <c r="B171" s="41" t="s">
        <v>108</v>
      </c>
      <c r="D171" s="22"/>
      <c r="E171" s="22"/>
      <c r="F171" s="22">
        <v>0</v>
      </c>
      <c r="G171" s="22">
        <v>0</v>
      </c>
      <c r="H171" s="22">
        <v>0</v>
      </c>
      <c r="I171" s="22">
        <v>0</v>
      </c>
      <c r="J171" s="22">
        <v>0</v>
      </c>
    </row>
    <row r="172" spans="1:10" s="14" customFormat="1" outlineLevel="1" x14ac:dyDescent="0.25">
      <c r="B172" s="41" t="s">
        <v>39</v>
      </c>
      <c r="D172" s="18">
        <f>D46</f>
        <v>57</v>
      </c>
      <c r="E172" s="18">
        <f>E46</f>
        <v>50</v>
      </c>
      <c r="F172" s="18">
        <f ca="1">-(F173*SUM((F18:F19,F15)))</f>
        <v>43.036301999999999</v>
      </c>
      <c r="G172" s="18">
        <f ca="1">-(G173*SUM((G18:G19,G15)))</f>
        <v>44.112209549999996</v>
      </c>
      <c r="H172" s="18">
        <f ca="1">-(H173*SUM((H18:H19,H15)))</f>
        <v>46.317820027500005</v>
      </c>
      <c r="I172" s="18">
        <f ca="1">-(I173*SUM((I18:I19,I15)))</f>
        <v>58.360453234650009</v>
      </c>
      <c r="J172" s="18">
        <f ca="1">-(J173*SUM((J18:J19,J15)))</f>
        <v>63.831745725398449</v>
      </c>
    </row>
    <row r="173" spans="1:10" s="14" customFormat="1" outlineLevel="1" x14ac:dyDescent="0.25">
      <c r="B173" s="41" t="s">
        <v>109</v>
      </c>
      <c r="D173" s="29">
        <f>-(D172/SUM(C18:C19,C15))</f>
        <v>6.0215508134375661E-3</v>
      </c>
      <c r="E173" s="29">
        <f>-(E172/SUM(D18:D19,D15))</f>
        <v>5.4866673982223195E-3</v>
      </c>
      <c r="F173" s="31">
        <v>5.0000000000000001E-3</v>
      </c>
      <c r="G173" s="31">
        <v>5.0000000000000001E-3</v>
      </c>
      <c r="H173" s="31">
        <v>5.0000000000000001E-3</v>
      </c>
      <c r="I173" s="31">
        <v>6.0000000000000001E-3</v>
      </c>
      <c r="J173" s="31">
        <v>6.2500000000000003E-3</v>
      </c>
    </row>
    <row r="174" spans="1:10" s="14" customFormat="1" ht="5.25" customHeight="1" outlineLevel="1" x14ac:dyDescent="0.25">
      <c r="B174" s="41"/>
    </row>
    <row r="175" spans="1:10" s="14" customFormat="1" outlineLevel="1" x14ac:dyDescent="0.25">
      <c r="B175" s="27" t="s">
        <v>110</v>
      </c>
    </row>
    <row r="176" spans="1:10" s="14" customFormat="1" outlineLevel="1" x14ac:dyDescent="0.25">
      <c r="B176" s="41" t="s">
        <v>75</v>
      </c>
      <c r="F176" s="18">
        <f>E178</f>
        <v>-76</v>
      </c>
      <c r="G176" s="18">
        <f>F178</f>
        <v>-216</v>
      </c>
      <c r="H176" s="18">
        <f t="shared" ref="H176:J176" si="66">G178</f>
        <v>-356</v>
      </c>
      <c r="I176" s="18">
        <f t="shared" si="66"/>
        <v>-496</v>
      </c>
      <c r="J176" s="18">
        <f t="shared" si="66"/>
        <v>-636</v>
      </c>
    </row>
    <row r="177" spans="1:10" s="14" customFormat="1" outlineLevel="1" x14ac:dyDescent="0.25">
      <c r="B177" s="41" t="s">
        <v>111</v>
      </c>
      <c r="F177" s="18">
        <f>F180</f>
        <v>-140</v>
      </c>
      <c r="G177" s="18">
        <f t="shared" ref="G177:J177" si="67">G180</f>
        <v>-140</v>
      </c>
      <c r="H177" s="18">
        <f t="shared" si="67"/>
        <v>-140</v>
      </c>
      <c r="I177" s="18">
        <f t="shared" si="67"/>
        <v>-140</v>
      </c>
      <c r="J177" s="18">
        <f t="shared" si="67"/>
        <v>-140</v>
      </c>
    </row>
    <row r="178" spans="1:10" s="14" customFormat="1" outlineLevel="1" x14ac:dyDescent="0.25">
      <c r="B178" s="19" t="s">
        <v>77</v>
      </c>
      <c r="C178" s="19"/>
      <c r="D178" s="20">
        <f>D70</f>
        <v>-55</v>
      </c>
      <c r="E178" s="20">
        <f>E70</f>
        <v>-76</v>
      </c>
      <c r="F178" s="20">
        <f>SUM(F176:F177)</f>
        <v>-216</v>
      </c>
      <c r="G178" s="20">
        <f>SUM(G176:G177)</f>
        <v>-356</v>
      </c>
      <c r="H178" s="20">
        <f>SUM(H176:H177)</f>
        <v>-496</v>
      </c>
      <c r="I178" s="20">
        <f>SUM(I176:I177)</f>
        <v>-636</v>
      </c>
      <c r="J178" s="20">
        <f>SUM(J176:J177)</f>
        <v>-776</v>
      </c>
    </row>
    <row r="179" spans="1:10" s="14" customFormat="1" ht="5.25" customHeight="1" outlineLevel="1" x14ac:dyDescent="0.25">
      <c r="B179" s="41"/>
    </row>
    <row r="180" spans="1:10" s="14" customFormat="1" outlineLevel="1" x14ac:dyDescent="0.25">
      <c r="B180" s="41" t="s">
        <v>112</v>
      </c>
      <c r="D180" s="22">
        <v>0</v>
      </c>
      <c r="E180" s="22">
        <v>0</v>
      </c>
      <c r="F180" s="22">
        <f>-(700/5)</f>
        <v>-140</v>
      </c>
      <c r="G180" s="22">
        <f>-(700/5)</f>
        <v>-140</v>
      </c>
      <c r="H180" s="22">
        <f>-(700/5)</f>
        <v>-140</v>
      </c>
      <c r="I180" s="22">
        <f>-(700/5)</f>
        <v>-140</v>
      </c>
      <c r="J180" s="22">
        <f>-(700/5)</f>
        <v>-140</v>
      </c>
    </row>
    <row r="181" spans="1:10" ht="5.25" customHeight="1" x14ac:dyDescent="0.25"/>
    <row r="182" spans="1:10" s="14" customFormat="1" ht="23.25" x14ac:dyDescent="0.35">
      <c r="A182" s="49"/>
      <c r="B182" s="50" t="s">
        <v>114</v>
      </c>
      <c r="C182" s="49"/>
      <c r="D182" s="49"/>
      <c r="E182" s="49"/>
      <c r="F182" s="49"/>
      <c r="G182" s="49"/>
      <c r="H182" s="49"/>
      <c r="I182" s="49"/>
      <c r="J182" s="49"/>
    </row>
    <row r="183" spans="1:10" s="14" customFormat="1" ht="5.25" customHeight="1" outlineLevel="1" x14ac:dyDescent="0.25"/>
    <row r="184" spans="1:10" s="14" customFormat="1" outlineLevel="1" x14ac:dyDescent="0.25">
      <c r="B184" s="27" t="s">
        <v>115</v>
      </c>
    </row>
    <row r="185" spans="1:10" s="14" customFormat="1" outlineLevel="1" x14ac:dyDescent="0.25">
      <c r="B185" s="41" t="s">
        <v>75</v>
      </c>
      <c r="F185" s="18">
        <f>E188</f>
        <v>6312</v>
      </c>
      <c r="G185" s="18">
        <f t="shared" ref="G185:J185" ca="1" si="68">F188</f>
        <v>7014.7851788974358</v>
      </c>
      <c r="H185" s="18">
        <f t="shared" ca="1" si="68"/>
        <v>7686.2170785871058</v>
      </c>
      <c r="I185" s="18">
        <f t="shared" ca="1" si="68"/>
        <v>8509.5566118803526</v>
      </c>
      <c r="J185" s="18">
        <f t="shared" ca="1" si="68"/>
        <v>9231.8897477553055</v>
      </c>
    </row>
    <row r="186" spans="1:10" s="14" customFormat="1" outlineLevel="1" x14ac:dyDescent="0.25">
      <c r="B186" s="41" t="s">
        <v>116</v>
      </c>
      <c r="F186" s="21">
        <f ca="1">F190</f>
        <v>1277.7912343589746</v>
      </c>
      <c r="G186" s="21">
        <f t="shared" ref="G186:J186" ca="1" si="69">G190</f>
        <v>1074.2910395034712</v>
      </c>
      <c r="H186" s="21">
        <f t="shared" ca="1" si="69"/>
        <v>1176.1993332760662</v>
      </c>
      <c r="I186" s="21">
        <f t="shared" ca="1" si="69"/>
        <v>1031.9044798213611</v>
      </c>
      <c r="J186" s="21">
        <f t="shared" ca="1" si="69"/>
        <v>1230.1853566087582</v>
      </c>
    </row>
    <row r="187" spans="1:10" s="14" customFormat="1" outlineLevel="1" x14ac:dyDescent="0.25">
      <c r="B187" s="41" t="s">
        <v>117</v>
      </c>
      <c r="F187" s="21">
        <f ca="1">F192</f>
        <v>-575.00605546153861</v>
      </c>
      <c r="G187" s="21">
        <f t="shared" ref="G187:J187" ca="1" si="70">G192</f>
        <v>-402.85913981380168</v>
      </c>
      <c r="H187" s="21">
        <f t="shared" ca="1" si="70"/>
        <v>-352.85979998281988</v>
      </c>
      <c r="I187" s="21">
        <f t="shared" ca="1" si="70"/>
        <v>-309.57134394640832</v>
      </c>
      <c r="J187" s="21">
        <f t="shared" ca="1" si="70"/>
        <v>-270.64077845392683</v>
      </c>
    </row>
    <row r="188" spans="1:10" s="14" customFormat="1" outlineLevel="1" x14ac:dyDescent="0.25">
      <c r="B188" s="19" t="s">
        <v>77</v>
      </c>
      <c r="C188" s="19"/>
      <c r="D188" s="20">
        <f>D71</f>
        <v>5072</v>
      </c>
      <c r="E188" s="20">
        <f>E71</f>
        <v>6312</v>
      </c>
      <c r="F188" s="20">
        <f ca="1">SUM(F185:F187)</f>
        <v>7014.7851788974358</v>
      </c>
      <c r="G188" s="20">
        <f t="shared" ref="G188:J188" ca="1" si="71">SUM(G185:G187)</f>
        <v>7686.2170785871058</v>
      </c>
      <c r="H188" s="20">
        <f t="shared" ca="1" si="71"/>
        <v>8509.5566118803526</v>
      </c>
      <c r="I188" s="20">
        <f t="shared" ca="1" si="71"/>
        <v>9231.8897477553055</v>
      </c>
      <c r="J188" s="20">
        <f t="shared" ca="1" si="71"/>
        <v>10191.434325910137</v>
      </c>
    </row>
    <row r="189" spans="1:10" s="14" customFormat="1" ht="5.25" customHeight="1" outlineLevel="1" x14ac:dyDescent="0.25">
      <c r="B189" s="41"/>
    </row>
    <row r="190" spans="1:10" s="14" customFormat="1" outlineLevel="1" x14ac:dyDescent="0.25">
      <c r="B190" s="41" t="s">
        <v>118</v>
      </c>
      <c r="D190" s="18">
        <f>D28</f>
        <v>361</v>
      </c>
      <c r="E190" s="18">
        <f t="shared" ref="E190:J190" si="72">E28</f>
        <v>1353</v>
      </c>
      <c r="F190" s="18">
        <f t="shared" ca="1" si="72"/>
        <v>1277.7912343589746</v>
      </c>
      <c r="G190" s="18">
        <f t="shared" ca="1" si="72"/>
        <v>1074.2910395034712</v>
      </c>
      <c r="H190" s="18">
        <f t="shared" ca="1" si="72"/>
        <v>1176.1993332760662</v>
      </c>
      <c r="I190" s="18">
        <f t="shared" ca="1" si="72"/>
        <v>1031.9044798213611</v>
      </c>
      <c r="J190" s="18">
        <f t="shared" ca="1" si="72"/>
        <v>1230.1853566087582</v>
      </c>
    </row>
    <row r="191" spans="1:10" s="14" customFormat="1" outlineLevel="1" x14ac:dyDescent="0.25">
      <c r="B191" s="41" t="s">
        <v>119</v>
      </c>
      <c r="D191" s="29">
        <f>-(D192/D190)</f>
        <v>0.74515235457063711</v>
      </c>
      <c r="E191" s="29">
        <f>-(E192/E190)</f>
        <v>0.17960088691796008</v>
      </c>
      <c r="F191" s="31">
        <v>0.45</v>
      </c>
      <c r="G191" s="31">
        <v>0.375</v>
      </c>
      <c r="H191" s="31">
        <v>0.3</v>
      </c>
      <c r="I191" s="31">
        <v>0.3</v>
      </c>
      <c r="J191" s="31">
        <v>0.22</v>
      </c>
    </row>
    <row r="192" spans="1:10" s="14" customFormat="1" outlineLevel="1" x14ac:dyDescent="0.25">
      <c r="B192" s="41" t="s">
        <v>120</v>
      </c>
      <c r="D192" s="22">
        <v>-269</v>
      </c>
      <c r="E192" s="22">
        <v>-243</v>
      </c>
      <c r="F192" s="18">
        <f ca="1">-(F191*F190)</f>
        <v>-575.00605546153861</v>
      </c>
      <c r="G192" s="18">
        <f t="shared" ref="G192:J192" ca="1" si="73">-(G191*G190)</f>
        <v>-402.85913981380168</v>
      </c>
      <c r="H192" s="18">
        <f t="shared" ca="1" si="73"/>
        <v>-352.85979998281988</v>
      </c>
      <c r="I192" s="18">
        <f t="shared" ca="1" si="73"/>
        <v>-309.57134394640832</v>
      </c>
      <c r="J192" s="18">
        <f t="shared" ca="1" si="73"/>
        <v>-270.64077845392683</v>
      </c>
    </row>
    <row r="193" spans="1:10" s="14" customFormat="1" ht="5.25" customHeight="1" outlineLevel="1" x14ac:dyDescent="0.25">
      <c r="B193" s="41"/>
    </row>
    <row r="194" spans="1:10" s="14" customFormat="1" outlineLevel="1" x14ac:dyDescent="0.25">
      <c r="B194" s="27" t="s">
        <v>55</v>
      </c>
    </row>
    <row r="195" spans="1:10" s="14" customFormat="1" outlineLevel="1" x14ac:dyDescent="0.25">
      <c r="B195" s="41" t="s">
        <v>75</v>
      </c>
      <c r="F195" s="18">
        <f>E197</f>
        <v>-3646</v>
      </c>
      <c r="G195" s="18">
        <f t="shared" ref="G195:J195" si="74">F197</f>
        <v>-3646</v>
      </c>
      <c r="H195" s="18">
        <f t="shared" si="74"/>
        <v>-3646</v>
      </c>
      <c r="I195" s="18">
        <f t="shared" si="74"/>
        <v>-3646</v>
      </c>
      <c r="J195" s="18">
        <f t="shared" si="74"/>
        <v>-3646</v>
      </c>
    </row>
    <row r="196" spans="1:10" s="14" customFormat="1" outlineLevel="1" x14ac:dyDescent="0.25">
      <c r="B196" s="41" t="s">
        <v>121</v>
      </c>
      <c r="F196" s="22">
        <v>0</v>
      </c>
      <c r="G196" s="22">
        <v>0</v>
      </c>
      <c r="H196" s="22">
        <v>0</v>
      </c>
      <c r="I196" s="22">
        <v>0</v>
      </c>
      <c r="J196" s="22">
        <v>0</v>
      </c>
    </row>
    <row r="197" spans="1:10" s="14" customFormat="1" outlineLevel="1" x14ac:dyDescent="0.25">
      <c r="B197" s="19" t="s">
        <v>77</v>
      </c>
      <c r="C197" s="19"/>
      <c r="D197" s="20">
        <f>D72</f>
        <v>-3565</v>
      </c>
      <c r="E197" s="20">
        <f>E72</f>
        <v>-3646</v>
      </c>
      <c r="F197" s="20">
        <f>SUM(F195:F196)</f>
        <v>-3646</v>
      </c>
      <c r="G197" s="20">
        <f>SUM(G195:G196)</f>
        <v>-3646</v>
      </c>
      <c r="H197" s="20">
        <f>SUM(H195:H196)</f>
        <v>-3646</v>
      </c>
      <c r="I197" s="20">
        <f>SUM(I195:I196)</f>
        <v>-3646</v>
      </c>
      <c r="J197" s="20">
        <f>SUM(J195:J196)</f>
        <v>-3646</v>
      </c>
    </row>
    <row r="198" spans="1:10" ht="5.25" customHeight="1" x14ac:dyDescent="0.25"/>
    <row r="199" spans="1:10" s="14" customFormat="1" ht="28.5" x14ac:dyDescent="0.45">
      <c r="A199" s="13" t="s">
        <v>12</v>
      </c>
      <c r="B199" s="4" t="s">
        <v>122</v>
      </c>
      <c r="C199" s="2"/>
      <c r="D199" s="2"/>
      <c r="E199" s="2"/>
      <c r="F199" s="2"/>
      <c r="G199" s="2"/>
      <c r="H199" s="2"/>
      <c r="I199" s="2"/>
      <c r="J199" s="2"/>
    </row>
    <row r="200" spans="1:10" ht="5.25" customHeight="1" x14ac:dyDescent="0.25"/>
    <row r="201" spans="1:10" x14ac:dyDescent="0.25">
      <c r="B201" s="1" t="s">
        <v>118</v>
      </c>
      <c r="F201" s="69">
        <f ca="1">F28</f>
        <v>1277.7912343589746</v>
      </c>
      <c r="G201" s="69">
        <f t="shared" ref="G201:J201" ca="1" si="75">G28</f>
        <v>1074.2910395034712</v>
      </c>
      <c r="H201" s="69">
        <f t="shared" ca="1" si="75"/>
        <v>1176.1993332760662</v>
      </c>
      <c r="I201" s="69">
        <f t="shared" ca="1" si="75"/>
        <v>1031.9044798213611</v>
      </c>
      <c r="J201" s="69">
        <f t="shared" ca="1" si="75"/>
        <v>1230.1853566087582</v>
      </c>
    </row>
    <row r="202" spans="1:10" x14ac:dyDescent="0.25">
      <c r="B202" s="1" t="s">
        <v>38</v>
      </c>
      <c r="F202" s="59">
        <f ca="1">F45</f>
        <v>139.01242500000001</v>
      </c>
      <c r="G202" s="59">
        <f t="shared" ref="G202:J202" ca="1" si="76">G45</f>
        <v>141.58773562499999</v>
      </c>
      <c r="H202" s="59">
        <f t="shared" ca="1" si="76"/>
        <v>142.86712240624999</v>
      </c>
      <c r="I202" s="59">
        <f t="shared" ca="1" si="76"/>
        <v>146.41047852656251</v>
      </c>
      <c r="J202" s="59">
        <f t="shared" ca="1" si="76"/>
        <v>140.23100245289064</v>
      </c>
    </row>
    <row r="203" spans="1:10" x14ac:dyDescent="0.25">
      <c r="B203" s="1" t="s">
        <v>39</v>
      </c>
      <c r="F203" s="59">
        <f ca="1">F172</f>
        <v>43.036301999999999</v>
      </c>
      <c r="G203" s="59">
        <f t="shared" ref="G203:J203" ca="1" si="77">G172</f>
        <v>44.112209549999996</v>
      </c>
      <c r="H203" s="59">
        <f t="shared" ca="1" si="77"/>
        <v>46.317820027500005</v>
      </c>
      <c r="I203" s="59">
        <f t="shared" ca="1" si="77"/>
        <v>58.360453234650009</v>
      </c>
      <c r="J203" s="59">
        <f t="shared" ca="1" si="77"/>
        <v>63.831745725398449</v>
      </c>
    </row>
    <row r="204" spans="1:10" x14ac:dyDescent="0.25">
      <c r="B204" s="1" t="s">
        <v>43</v>
      </c>
      <c r="F204" s="59">
        <f ca="1">-(F88)</f>
        <v>8.6700000000000728</v>
      </c>
      <c r="G204" s="59">
        <f t="shared" ref="G204:J204" ca="1" si="78">-(G88)</f>
        <v>-114.45824999999968</v>
      </c>
      <c r="H204" s="59">
        <f t="shared" ca="1" si="78"/>
        <v>-234.63941250000062</v>
      </c>
      <c r="I204" s="59">
        <f t="shared" ca="1" si="78"/>
        <v>-246.37138312500065</v>
      </c>
      <c r="J204" s="59">
        <f t="shared" ca="1" si="78"/>
        <v>-258.68995228125004</v>
      </c>
    </row>
    <row r="205" spans="1:10" x14ac:dyDescent="0.25">
      <c r="B205" s="1" t="s">
        <v>44</v>
      </c>
      <c r="F205" s="59">
        <f ca="1">-(F96)</f>
        <v>-33.954469999999901</v>
      </c>
      <c r="G205" s="59">
        <f t="shared" ref="G205:J205" ca="1" si="79">-(G96)</f>
        <v>-18.198861750000106</v>
      </c>
      <c r="H205" s="59">
        <f t="shared" ca="1" si="79"/>
        <v>-37.30766658750008</v>
      </c>
      <c r="I205" s="59">
        <f t="shared" ca="1" si="79"/>
        <v>-39.173049916875129</v>
      </c>
      <c r="J205" s="59">
        <f t="shared" ca="1" si="79"/>
        <v>-41.131702412718596</v>
      </c>
    </row>
    <row r="206" spans="1:10" x14ac:dyDescent="0.25">
      <c r="B206" s="1" t="s">
        <v>47</v>
      </c>
      <c r="F206" s="59">
        <f ca="1">F104</f>
        <v>45.799199999999928</v>
      </c>
      <c r="G206" s="59">
        <f t="shared" ref="G206:J206" ca="1" si="80">G104</f>
        <v>27.46997999999985</v>
      </c>
      <c r="H206" s="59">
        <f t="shared" ca="1" si="80"/>
        <v>56.313459000000194</v>
      </c>
      <c r="I206" s="59">
        <f t="shared" ca="1" si="80"/>
        <v>59.129131950000101</v>
      </c>
      <c r="J206" s="59">
        <f t="shared" ca="1" si="80"/>
        <v>62.085588547500038</v>
      </c>
    </row>
    <row r="207" spans="1:10" x14ac:dyDescent="0.25">
      <c r="B207" s="1" t="s">
        <v>67</v>
      </c>
      <c r="F207" s="59">
        <f>-(F136)</f>
        <v>0</v>
      </c>
      <c r="G207" s="59">
        <f t="shared" ref="G207:J207" si="81">-(G136)</f>
        <v>0</v>
      </c>
      <c r="H207" s="59">
        <f t="shared" si="81"/>
        <v>0</v>
      </c>
      <c r="I207" s="59">
        <f t="shared" si="81"/>
        <v>0</v>
      </c>
      <c r="J207" s="59">
        <f t="shared" si="81"/>
        <v>0</v>
      </c>
    </row>
    <row r="208" spans="1:10" x14ac:dyDescent="0.25">
      <c r="B208" s="1" t="s">
        <v>123</v>
      </c>
      <c r="F208" s="59">
        <f>-(F146)</f>
        <v>0</v>
      </c>
      <c r="G208" s="59">
        <f t="shared" ref="G208:J208" si="82">-(G146)</f>
        <v>0</v>
      </c>
      <c r="H208" s="59">
        <f t="shared" si="82"/>
        <v>0</v>
      </c>
      <c r="I208" s="59">
        <f t="shared" si="82"/>
        <v>0</v>
      </c>
      <c r="J208" s="59">
        <f t="shared" si="82"/>
        <v>0</v>
      </c>
    </row>
    <row r="209" spans="2:10" x14ac:dyDescent="0.25">
      <c r="B209" s="1" t="s">
        <v>97</v>
      </c>
      <c r="F209" s="59">
        <f>-(F141)</f>
        <v>0</v>
      </c>
      <c r="G209" s="59">
        <f t="shared" ref="G209:J209" si="83">-(G141)</f>
        <v>0</v>
      </c>
      <c r="H209" s="59">
        <f t="shared" si="83"/>
        <v>0</v>
      </c>
      <c r="I209" s="59">
        <f t="shared" si="83"/>
        <v>0</v>
      </c>
      <c r="J209" s="59">
        <f t="shared" si="83"/>
        <v>0</v>
      </c>
    </row>
    <row r="210" spans="2:10" x14ac:dyDescent="0.25">
      <c r="B210" s="1" t="s">
        <v>124</v>
      </c>
      <c r="F210" s="59">
        <f>F154</f>
        <v>0</v>
      </c>
      <c r="G210" s="59">
        <f t="shared" ref="G210:J210" si="84">G154</f>
        <v>0</v>
      </c>
      <c r="H210" s="59">
        <f t="shared" si="84"/>
        <v>0</v>
      </c>
      <c r="I210" s="59">
        <f t="shared" si="84"/>
        <v>0</v>
      </c>
      <c r="J210" s="59">
        <f t="shared" si="84"/>
        <v>0</v>
      </c>
    </row>
    <row r="211" spans="2:10" x14ac:dyDescent="0.25">
      <c r="B211" s="58" t="s">
        <v>125</v>
      </c>
      <c r="C211" s="65"/>
      <c r="D211" s="65"/>
      <c r="E211" s="65"/>
      <c r="F211" s="60">
        <f ca="1">SUM(F201:F210)</f>
        <v>1480.3546913589746</v>
      </c>
      <c r="G211" s="60">
        <f t="shared" ref="G211:J211" ca="1" si="85">SUM(G201:G210)</f>
        <v>1154.8038529284713</v>
      </c>
      <c r="H211" s="60">
        <f t="shared" ca="1" si="85"/>
        <v>1149.7506556223157</v>
      </c>
      <c r="I211" s="60">
        <f t="shared" ca="1" si="85"/>
        <v>1010.2601104906979</v>
      </c>
      <c r="J211" s="60">
        <f t="shared" ca="1" si="85"/>
        <v>1196.5120386405786</v>
      </c>
    </row>
    <row r="212" spans="2:10" ht="5.25" customHeight="1" x14ac:dyDescent="0.25"/>
    <row r="213" spans="2:10" x14ac:dyDescent="0.25">
      <c r="B213" s="1" t="s">
        <v>126</v>
      </c>
      <c r="F213" s="59">
        <f ca="1">-(F117)</f>
        <v>-68.674949999999995</v>
      </c>
      <c r="G213" s="59">
        <f t="shared" ref="G213:J213" ca="1" si="86">-(G117)</f>
        <v>-70.391823749999986</v>
      </c>
      <c r="H213" s="59">
        <f t="shared" ca="1" si="86"/>
        <v>-73.911414937499998</v>
      </c>
      <c r="I213" s="59">
        <f t="shared" ca="1" si="86"/>
        <v>-77.606985684375005</v>
      </c>
      <c r="J213" s="59">
        <f t="shared" ca="1" si="86"/>
        <v>-81.487334968593757</v>
      </c>
    </row>
    <row r="214" spans="2:10" x14ac:dyDescent="0.25">
      <c r="B214" s="1" t="s">
        <v>127</v>
      </c>
      <c r="F214" s="59">
        <f>-(F129)</f>
        <v>0</v>
      </c>
      <c r="G214" s="59">
        <f t="shared" ref="G214:J214" si="87">-(G129)</f>
        <v>0</v>
      </c>
      <c r="H214" s="59">
        <f t="shared" si="87"/>
        <v>0</v>
      </c>
      <c r="I214" s="59">
        <f t="shared" si="87"/>
        <v>0</v>
      </c>
      <c r="J214" s="59">
        <f t="shared" si="87"/>
        <v>0</v>
      </c>
    </row>
    <row r="215" spans="2:10" x14ac:dyDescent="0.25">
      <c r="B215" s="58" t="s">
        <v>128</v>
      </c>
      <c r="C215" s="65"/>
      <c r="D215" s="65"/>
      <c r="E215" s="65"/>
      <c r="F215" s="60">
        <f ca="1">SUM(F213:F214)</f>
        <v>-68.674949999999995</v>
      </c>
      <c r="G215" s="60">
        <f t="shared" ref="G215:J215" ca="1" si="88">SUM(G213:G214)</f>
        <v>-70.391823749999986</v>
      </c>
      <c r="H215" s="60">
        <f t="shared" ca="1" si="88"/>
        <v>-73.911414937499998</v>
      </c>
      <c r="I215" s="60">
        <f t="shared" ca="1" si="88"/>
        <v>-77.606985684375005</v>
      </c>
      <c r="J215" s="60">
        <f t="shared" ca="1" si="88"/>
        <v>-81.487334968593757</v>
      </c>
    </row>
    <row r="216" spans="2:10" ht="5.25" customHeight="1" x14ac:dyDescent="0.25"/>
    <row r="217" spans="2:10" x14ac:dyDescent="0.25">
      <c r="B217" s="1" t="s">
        <v>49</v>
      </c>
      <c r="F217" s="59">
        <f>F153</f>
        <v>-1051</v>
      </c>
      <c r="G217" s="59">
        <f t="shared" ref="G217:J217" si="89">G153</f>
        <v>-1062</v>
      </c>
      <c r="H217" s="59">
        <f t="shared" si="89"/>
        <v>-300</v>
      </c>
      <c r="I217" s="59">
        <f t="shared" si="89"/>
        <v>-1000</v>
      </c>
      <c r="J217" s="59">
        <f t="shared" si="89"/>
        <v>-300</v>
      </c>
    </row>
    <row r="218" spans="2:10" x14ac:dyDescent="0.25">
      <c r="B218" s="1" t="s">
        <v>120</v>
      </c>
      <c r="F218" s="59">
        <f ca="1">F192</f>
        <v>-575.00605546153861</v>
      </c>
      <c r="G218" s="59">
        <f t="shared" ref="G218:J218" ca="1" si="90">G192</f>
        <v>-402.85913981380168</v>
      </c>
      <c r="H218" s="59">
        <f t="shared" ca="1" si="90"/>
        <v>-352.85979998281988</v>
      </c>
      <c r="I218" s="59">
        <f t="shared" ca="1" si="90"/>
        <v>-309.57134394640832</v>
      </c>
      <c r="J218" s="59">
        <f t="shared" ca="1" si="90"/>
        <v>-270.64077845392683</v>
      </c>
    </row>
    <row r="219" spans="2:10" x14ac:dyDescent="0.25">
      <c r="B219" s="1" t="s">
        <v>129</v>
      </c>
      <c r="F219" s="59">
        <f>F167</f>
        <v>0</v>
      </c>
      <c r="G219" s="59">
        <f t="shared" ref="G219:J219" si="91">G167</f>
        <v>0</v>
      </c>
      <c r="H219" s="59">
        <f t="shared" si="91"/>
        <v>0</v>
      </c>
      <c r="I219" s="59">
        <f t="shared" si="91"/>
        <v>0</v>
      </c>
      <c r="J219" s="59">
        <f t="shared" si="91"/>
        <v>0</v>
      </c>
    </row>
    <row r="220" spans="2:10" x14ac:dyDescent="0.25">
      <c r="B220" s="1" t="s">
        <v>130</v>
      </c>
      <c r="F220" s="59">
        <f>F180</f>
        <v>-140</v>
      </c>
      <c r="G220" s="59">
        <f t="shared" ref="G220:J220" si="92">G180</f>
        <v>-140</v>
      </c>
      <c r="H220" s="59">
        <f t="shared" si="92"/>
        <v>-140</v>
      </c>
      <c r="I220" s="59">
        <f t="shared" si="92"/>
        <v>-140</v>
      </c>
      <c r="J220" s="59">
        <f t="shared" si="92"/>
        <v>-140</v>
      </c>
    </row>
    <row r="221" spans="2:10" x14ac:dyDescent="0.25">
      <c r="B221" s="1" t="s">
        <v>55</v>
      </c>
      <c r="F221" s="59">
        <f>F196</f>
        <v>0</v>
      </c>
      <c r="G221" s="59">
        <f t="shared" ref="G221:J221" si="93">G196</f>
        <v>0</v>
      </c>
      <c r="H221" s="59">
        <f t="shared" si="93"/>
        <v>0</v>
      </c>
      <c r="I221" s="59">
        <f t="shared" si="93"/>
        <v>0</v>
      </c>
      <c r="J221" s="59">
        <f t="shared" si="93"/>
        <v>0</v>
      </c>
    </row>
    <row r="222" spans="2:10" x14ac:dyDescent="0.25">
      <c r="B222" s="1" t="s">
        <v>48</v>
      </c>
    </row>
    <row r="223" spans="2:10" x14ac:dyDescent="0.25">
      <c r="B223" s="58" t="s">
        <v>131</v>
      </c>
      <c r="C223" s="65"/>
      <c r="D223" s="65"/>
      <c r="E223" s="65"/>
      <c r="F223" s="60">
        <f ca="1">SUM(F217:F222)</f>
        <v>-1766.0060554615386</v>
      </c>
      <c r="G223" s="60">
        <f t="shared" ref="G223:J223" ca="1" si="94">SUM(G217:G222)</f>
        <v>-1604.8591398138017</v>
      </c>
      <c r="H223" s="60">
        <f t="shared" ca="1" si="94"/>
        <v>-792.85979998281982</v>
      </c>
      <c r="I223" s="60">
        <f t="shared" ca="1" si="94"/>
        <v>-1449.5713439464084</v>
      </c>
      <c r="J223" s="60">
        <f t="shared" ca="1" si="94"/>
        <v>-710.64077845392683</v>
      </c>
    </row>
    <row r="224" spans="2:10" ht="5.25" customHeight="1" x14ac:dyDescent="0.25"/>
    <row r="225" spans="1:10" ht="15.75" thickBot="1" x14ac:dyDescent="0.3">
      <c r="B225" s="66" t="s">
        <v>132</v>
      </c>
      <c r="C225" s="67"/>
      <c r="D225" s="67"/>
      <c r="E225" s="67"/>
      <c r="F225" s="68">
        <f ca="1">F211+F215+F223</f>
        <v>-354.32631410256408</v>
      </c>
      <c r="G225" s="68">
        <f t="shared" ref="G225:J225" ca="1" si="95">G211+G215+G223</f>
        <v>-520.44711063533032</v>
      </c>
      <c r="H225" s="68">
        <f t="shared" ca="1" si="95"/>
        <v>282.97944070199583</v>
      </c>
      <c r="I225" s="68">
        <f t="shared" ca="1" si="95"/>
        <v>-516.91821914008551</v>
      </c>
      <c r="J225" s="68">
        <f t="shared" ca="1" si="95"/>
        <v>404.38392521805793</v>
      </c>
    </row>
    <row r="226" spans="1:10" ht="15.75" thickTop="1" x14ac:dyDescent="0.25"/>
    <row r="227" spans="1:10" s="14" customFormat="1" ht="23.25" x14ac:dyDescent="0.35">
      <c r="A227" s="49"/>
      <c r="B227" s="50" t="s">
        <v>133</v>
      </c>
      <c r="C227" s="49"/>
      <c r="D227" s="49"/>
      <c r="E227" s="49"/>
      <c r="F227" s="49"/>
      <c r="G227" s="49"/>
      <c r="H227" s="49"/>
      <c r="I227" s="49"/>
      <c r="J227" s="49"/>
    </row>
    <row r="228" spans="1:10" s="14" customFormat="1" ht="5.25" customHeight="1" outlineLevel="1" x14ac:dyDescent="0.25"/>
    <row r="229" spans="1:10" s="14" customFormat="1" ht="15.75" outlineLevel="1" x14ac:dyDescent="0.25">
      <c r="B229" s="33" t="s">
        <v>75</v>
      </c>
      <c r="F229" s="18">
        <f>E231</f>
        <v>0</v>
      </c>
      <c r="G229" s="18">
        <f>F231</f>
        <v>0</v>
      </c>
      <c r="H229" s="18">
        <f>G231</f>
        <v>0</v>
      </c>
      <c r="I229" s="18">
        <f>H231</f>
        <v>0</v>
      </c>
      <c r="J229" s="18">
        <f>I231</f>
        <v>0</v>
      </c>
    </row>
    <row r="230" spans="1:10" s="14" customFormat="1" ht="15.75" outlineLevel="1" x14ac:dyDescent="0.25">
      <c r="B230" s="33" t="s">
        <v>76</v>
      </c>
      <c r="F230" s="18">
        <v>0</v>
      </c>
      <c r="G230" s="18">
        <v>0</v>
      </c>
      <c r="H230" s="18">
        <v>0</v>
      </c>
      <c r="I230" s="18">
        <v>0</v>
      </c>
      <c r="J230" s="18">
        <v>0</v>
      </c>
    </row>
    <row r="231" spans="1:10" s="14" customFormat="1" ht="15.75" outlineLevel="1" x14ac:dyDescent="0.25">
      <c r="B231" s="52" t="s">
        <v>77</v>
      </c>
      <c r="C231" s="19"/>
      <c r="D231" s="20">
        <f>D63</f>
        <v>0</v>
      </c>
      <c r="E231" s="20">
        <f>E63</f>
        <v>0</v>
      </c>
      <c r="F231" s="20">
        <f>SUM(F229:F230)</f>
        <v>0</v>
      </c>
      <c r="G231" s="20">
        <f>SUM(G229:G230)</f>
        <v>0</v>
      </c>
      <c r="H231" s="20">
        <f>SUM(H229:H230)</f>
        <v>0</v>
      </c>
      <c r="I231" s="20">
        <f>SUM(I229:I230)</f>
        <v>0</v>
      </c>
      <c r="J231" s="20">
        <f>SUM(J229:J230)</f>
        <v>0</v>
      </c>
    </row>
    <row r="232" spans="1:10" s="14" customFormat="1" ht="5.25" customHeight="1" outlineLevel="1" x14ac:dyDescent="0.25">
      <c r="B232" s="33"/>
    </row>
    <row r="233" spans="1:10" s="14" customFormat="1" ht="15.75" outlineLevel="1" x14ac:dyDescent="0.25">
      <c r="B233" s="33" t="s">
        <v>134</v>
      </c>
      <c r="D233" s="18">
        <f>SUM(D53:D54)</f>
        <v>5571</v>
      </c>
      <c r="E233" s="18">
        <f t="shared" ref="E233:J233" si="96">SUM(E53:E54)</f>
        <v>5281</v>
      </c>
      <c r="F233" s="18">
        <f t="shared" ca="1" si="96"/>
        <v>5306.2844699999996</v>
      </c>
      <c r="G233" s="18">
        <f t="shared" ca="1" si="96"/>
        <v>5438.9415817499994</v>
      </c>
      <c r="H233" s="18">
        <f t="shared" ca="1" si="96"/>
        <v>5710.8886608375005</v>
      </c>
      <c r="I233" s="18">
        <f t="shared" ca="1" si="96"/>
        <v>5996.4330938793764</v>
      </c>
      <c r="J233" s="18">
        <f t="shared" ca="1" si="96"/>
        <v>6296.2547485733448</v>
      </c>
    </row>
    <row r="234" spans="1:10" s="14" customFormat="1" ht="15.75" outlineLevel="1" x14ac:dyDescent="0.25">
      <c r="B234" s="33" t="s">
        <v>135</v>
      </c>
      <c r="F234" s="74" t="str">
        <f>IF(F231&gt;D233,"OVERDRAWN","OK")</f>
        <v>OK</v>
      </c>
      <c r="G234" s="74" t="str">
        <f ca="1">IF(G231&gt;G233,"OVERDRAWN","OK")</f>
        <v>OK</v>
      </c>
      <c r="H234" s="74" t="str">
        <f ca="1">IF(H231&gt;H233,"OVERDRAWN","OK")</f>
        <v>OK</v>
      </c>
      <c r="I234" s="74" t="str">
        <f ca="1">IF(I231&gt;I233,"OVERDRAWN","OK")</f>
        <v>OK</v>
      </c>
      <c r="J234" s="74" t="str">
        <f ca="1">IF(J231&gt;J233,"OVERDRAWN","OK")</f>
        <v>OK</v>
      </c>
    </row>
    <row r="235" spans="1:10" s="14" customFormat="1" ht="5.25" customHeight="1" outlineLevel="1" x14ac:dyDescent="0.25">
      <c r="B235" s="33"/>
    </row>
    <row r="236" spans="1:10" s="14" customFormat="1" ht="15.75" outlineLevel="1" x14ac:dyDescent="0.25">
      <c r="B236" s="37" t="s">
        <v>136</v>
      </c>
    </row>
    <row r="237" spans="1:10" s="14" customFormat="1" ht="15.75" outlineLevel="1" x14ac:dyDescent="0.25">
      <c r="B237" s="33" t="s">
        <v>75</v>
      </c>
      <c r="F237" s="18">
        <f>E52</f>
        <v>2740</v>
      </c>
      <c r="G237" s="18">
        <f t="shared" ref="G237:J237" ca="1" si="97">F52</f>
        <v>2385.6736858974359</v>
      </c>
      <c r="H237" s="18">
        <f t="shared" ca="1" si="97"/>
        <v>1865.2265752621056</v>
      </c>
      <c r="I237" s="18">
        <f t="shared" ca="1" si="97"/>
        <v>2148.2060159641014</v>
      </c>
      <c r="J237" s="18">
        <f t="shared" ca="1" si="97"/>
        <v>1631.2877968240159</v>
      </c>
    </row>
    <row r="238" spans="1:10" s="14" customFormat="1" ht="15.75" outlineLevel="1" x14ac:dyDescent="0.25">
      <c r="B238" s="33" t="s">
        <v>137</v>
      </c>
      <c r="F238" s="61">
        <v>5000</v>
      </c>
      <c r="G238" s="61">
        <v>5000</v>
      </c>
      <c r="H238" s="61">
        <v>5000</v>
      </c>
      <c r="I238" s="61">
        <v>5000</v>
      </c>
      <c r="J238" s="61">
        <v>5000</v>
      </c>
    </row>
    <row r="239" spans="1:10" s="14" customFormat="1" ht="15.75" customHeight="1" outlineLevel="1" x14ac:dyDescent="0.25">
      <c r="B239" s="33" t="s">
        <v>138</v>
      </c>
      <c r="F239" s="46">
        <f>F237-F238</f>
        <v>-2260</v>
      </c>
      <c r="G239" s="46">
        <f t="shared" ref="G239:J239" ca="1" si="98">G237-G238</f>
        <v>-2614.3263141025641</v>
      </c>
      <c r="H239" s="46">
        <f t="shared" ca="1" si="98"/>
        <v>-3134.7734247378944</v>
      </c>
      <c r="I239" s="46">
        <f t="shared" ca="1" si="98"/>
        <v>-2851.7939840358986</v>
      </c>
      <c r="J239" s="46">
        <f t="shared" ca="1" si="98"/>
        <v>-3368.7122031759841</v>
      </c>
    </row>
    <row r="240" spans="1:10" s="14" customFormat="1" ht="15.75" outlineLevel="1" x14ac:dyDescent="0.25">
      <c r="B240" s="33" t="s">
        <v>139</v>
      </c>
      <c r="F240" s="18">
        <f ca="1">SUM(F217:F221,F215,F211)</f>
        <v>-354.32631410256408</v>
      </c>
      <c r="G240" s="18">
        <f t="shared" ref="G240:J240" ca="1" si="99">SUM(G217:G221,G215,G211)</f>
        <v>-520.44711063533032</v>
      </c>
      <c r="H240" s="18">
        <f t="shared" ca="1" si="99"/>
        <v>282.97944070199583</v>
      </c>
      <c r="I240" s="18">
        <f t="shared" ca="1" si="99"/>
        <v>-516.91821914008563</v>
      </c>
      <c r="J240" s="18">
        <f t="shared" ca="1" si="99"/>
        <v>404.38392521805804</v>
      </c>
    </row>
    <row r="241" spans="1:10" s="14" customFormat="1" ht="15.75" outlineLevel="1" x14ac:dyDescent="0.25">
      <c r="B241" s="52" t="s">
        <v>140</v>
      </c>
      <c r="C241" s="75"/>
      <c r="D241" s="75"/>
      <c r="E241" s="75"/>
      <c r="F241" s="20">
        <f ca="1">F239+F240</f>
        <v>-2614.3263141025641</v>
      </c>
      <c r="G241" s="20">
        <f t="shared" ref="G241:J241" ca="1" si="100">G239+G240</f>
        <v>-3134.7734247378944</v>
      </c>
      <c r="H241" s="20">
        <f t="shared" ca="1" si="100"/>
        <v>-2851.7939840358986</v>
      </c>
      <c r="I241" s="20">
        <f t="shared" ca="1" si="100"/>
        <v>-3368.7122031759841</v>
      </c>
      <c r="J241" s="20">
        <f t="shared" ca="1" si="100"/>
        <v>-2964.3282779579258</v>
      </c>
    </row>
    <row r="242" spans="1:10" s="14" customFormat="1" ht="5.25" customHeight="1" outlineLevel="1" x14ac:dyDescent="0.25">
      <c r="B242" s="33"/>
    </row>
    <row r="243" spans="1:10" s="14" customFormat="1" ht="15.75" outlineLevel="1" x14ac:dyDescent="0.25">
      <c r="B243" s="33" t="s">
        <v>141</v>
      </c>
      <c r="F243" s="31">
        <v>2.5000000000000001E-2</v>
      </c>
      <c r="G243" s="31">
        <v>2.5000000000000001E-2</v>
      </c>
      <c r="H243" s="31">
        <v>2.5000000000000001E-2</v>
      </c>
      <c r="I243" s="31">
        <v>2.5000000000000001E-2</v>
      </c>
      <c r="J243" s="31">
        <v>2.5000000000000001E-2</v>
      </c>
    </row>
    <row r="244" spans="1:10" s="14" customFormat="1" ht="15.75" outlineLevel="1" x14ac:dyDescent="0.25">
      <c r="B244" s="33" t="s">
        <v>142</v>
      </c>
      <c r="F244" s="18">
        <f>F243*AVERAGE(F229,F231)</f>
        <v>0</v>
      </c>
      <c r="G244" s="18">
        <f>G243*AVERAGE(G229,G231)</f>
        <v>0</v>
      </c>
      <c r="H244" s="18">
        <f>H243*AVERAGE(H229,H231)</f>
        <v>0</v>
      </c>
      <c r="I244" s="18">
        <f>I243*AVERAGE(I229,I231)</f>
        <v>0</v>
      </c>
      <c r="J244" s="18">
        <f>J243*AVERAGE(J229,J231)</f>
        <v>0</v>
      </c>
    </row>
    <row r="245" spans="1:10" s="14" customFormat="1" ht="5.25" customHeight="1" outlineLevel="1" x14ac:dyDescent="0.25"/>
    <row r="246" spans="1:10" s="14" customFormat="1" ht="15.75" outlineLevel="1" x14ac:dyDescent="0.25">
      <c r="B246" s="37" t="s">
        <v>143</v>
      </c>
    </row>
    <row r="247" spans="1:10" s="14" customFormat="1" ht="15.75" outlineLevel="1" x14ac:dyDescent="0.25">
      <c r="B247" s="33" t="s">
        <v>75</v>
      </c>
      <c r="F247" s="21">
        <f>E249</f>
        <v>2740</v>
      </c>
      <c r="G247" s="21">
        <f ca="1">F249</f>
        <v>2385.6736858974359</v>
      </c>
      <c r="H247" s="21">
        <f ca="1">G249</f>
        <v>1865.2265752621056</v>
      </c>
      <c r="I247" s="21">
        <f ca="1">H249</f>
        <v>2148.2060159641014</v>
      </c>
      <c r="J247" s="21">
        <f ca="1">I249</f>
        <v>1631.2877968240159</v>
      </c>
    </row>
    <row r="248" spans="1:10" s="14" customFormat="1" ht="15.75" outlineLevel="1" x14ac:dyDescent="0.25">
      <c r="B248" s="76" t="s">
        <v>144</v>
      </c>
      <c r="F248" s="21">
        <f ca="1">F249-F247</f>
        <v>-354.32631410256408</v>
      </c>
      <c r="G248" s="21">
        <f ca="1">G249-G247</f>
        <v>-520.44711063533032</v>
      </c>
      <c r="H248" s="21">
        <f ca="1">H249-H247</f>
        <v>282.97944070199583</v>
      </c>
      <c r="I248" s="21">
        <f ca="1">I249-I247</f>
        <v>-516.91821914008551</v>
      </c>
      <c r="J248" s="21">
        <f ca="1">J249-J247</f>
        <v>404.38392521805781</v>
      </c>
    </row>
    <row r="249" spans="1:10" s="14" customFormat="1" ht="15.75" outlineLevel="1" x14ac:dyDescent="0.25">
      <c r="B249" s="52" t="s">
        <v>77</v>
      </c>
      <c r="C249" s="19"/>
      <c r="D249" s="53">
        <f>D52</f>
        <v>1081</v>
      </c>
      <c r="E249" s="53">
        <f t="shared" ref="E249:J249" si="101">E52</f>
        <v>2740</v>
      </c>
      <c r="F249" s="53">
        <f t="shared" ca="1" si="101"/>
        <v>2385.6736858974359</v>
      </c>
      <c r="G249" s="53">
        <f t="shared" ca="1" si="101"/>
        <v>1865.2265752621056</v>
      </c>
      <c r="H249" s="53">
        <f t="shared" ca="1" si="101"/>
        <v>2148.2060159641014</v>
      </c>
      <c r="I249" s="53">
        <f t="shared" ca="1" si="101"/>
        <v>1631.2877968240159</v>
      </c>
      <c r="J249" s="53">
        <f t="shared" ca="1" si="101"/>
        <v>2035.6717220420737</v>
      </c>
    </row>
    <row r="250" spans="1:10" s="14" customFormat="1" ht="5.25" customHeight="1" outlineLevel="1" x14ac:dyDescent="0.25">
      <c r="B250" s="33"/>
    </row>
    <row r="251" spans="1:10" s="14" customFormat="1" ht="15.75" outlineLevel="1" x14ac:dyDescent="0.25">
      <c r="B251" s="33" t="s">
        <v>145</v>
      </c>
      <c r="D251" s="28">
        <v>2.1600000000000001E-2</v>
      </c>
      <c r="E251" s="28">
        <v>2.1899999999999999E-2</v>
      </c>
      <c r="F251" s="28">
        <v>2.1899999999999999E-2</v>
      </c>
      <c r="G251" s="28">
        <v>2.1899999999999999E-2</v>
      </c>
      <c r="H251" s="28">
        <v>2.1899999999999999E-2</v>
      </c>
      <c r="I251" s="28">
        <v>2.1899999999999999E-2</v>
      </c>
      <c r="J251" s="28">
        <v>2.1899999999999999E-2</v>
      </c>
    </row>
    <row r="252" spans="1:10" s="14" customFormat="1" ht="15.75" outlineLevel="1" x14ac:dyDescent="0.25">
      <c r="B252" s="33" t="s">
        <v>20</v>
      </c>
      <c r="D252" s="21">
        <f>D22</f>
        <v>0</v>
      </c>
      <c r="E252" s="21">
        <f>E22</f>
        <v>0</v>
      </c>
      <c r="F252" s="21">
        <f ca="1">AVERAGE(F249,F247*F251)</f>
        <v>1222.8398429487179</v>
      </c>
      <c r="G252" s="21">
        <f t="shared" ref="G252:J252" ca="1" si="102">AVERAGE(G249,G247*G251)</f>
        <v>958.73641449162972</v>
      </c>
      <c r="H252" s="21">
        <f t="shared" ca="1" si="102"/>
        <v>1094.5272389811707</v>
      </c>
      <c r="I252" s="21">
        <f t="shared" ca="1" si="102"/>
        <v>839.16675428681492</v>
      </c>
      <c r="J252" s="21">
        <f t="shared" ca="1" si="102"/>
        <v>1035.6984623962599</v>
      </c>
    </row>
    <row r="253" spans="1:10" ht="5.25" customHeight="1" x14ac:dyDescent="0.25"/>
    <row r="254" spans="1:10" ht="23.25" x14ac:dyDescent="0.35">
      <c r="A254" s="49"/>
      <c r="B254" s="50" t="s">
        <v>147</v>
      </c>
      <c r="C254" s="49"/>
      <c r="D254" s="49"/>
      <c r="E254" s="49"/>
      <c r="F254" s="49"/>
      <c r="G254" s="49"/>
      <c r="H254" s="49"/>
      <c r="I254" s="49"/>
      <c r="J254" s="49"/>
    </row>
    <row r="255" spans="1:10" ht="5.25" customHeight="1" x14ac:dyDescent="0.25">
      <c r="A255" s="14"/>
      <c r="B255" s="14"/>
      <c r="C255" s="14"/>
      <c r="D255" s="14"/>
      <c r="E255" s="14"/>
      <c r="F255" s="14"/>
      <c r="G255" s="14"/>
      <c r="H255" s="14"/>
      <c r="I255" s="14"/>
      <c r="J255" s="14"/>
    </row>
    <row r="256" spans="1:10" x14ac:dyDescent="0.25">
      <c r="A256" s="14"/>
      <c r="B256" s="27" t="s">
        <v>26</v>
      </c>
      <c r="C256" s="14"/>
      <c r="D256" s="14"/>
      <c r="E256" s="14"/>
      <c r="F256" s="14"/>
      <c r="G256" s="14"/>
      <c r="H256" s="14"/>
      <c r="I256" s="14"/>
      <c r="J256" s="14"/>
    </row>
    <row r="257" spans="1:10" x14ac:dyDescent="0.25">
      <c r="A257" s="14"/>
      <c r="B257" s="14" t="s">
        <v>148</v>
      </c>
      <c r="C257" s="14"/>
      <c r="D257" s="14"/>
      <c r="E257" s="14"/>
      <c r="F257" s="21">
        <f>E260</f>
        <v>212.78913399999999</v>
      </c>
      <c r="G257" s="21">
        <f t="shared" ref="G257:J257" si="103">F260</f>
        <v>198.843713093432</v>
      </c>
      <c r="H257" s="21">
        <f t="shared" si="103"/>
        <v>185.23120674431524</v>
      </c>
      <c r="I257" s="21">
        <f t="shared" si="103"/>
        <v>172.01518116264847</v>
      </c>
      <c r="J257" s="21">
        <f t="shared" si="103"/>
        <v>159.18408836491375</v>
      </c>
    </row>
    <row r="258" spans="1:10" x14ac:dyDescent="0.25">
      <c r="A258" s="14"/>
      <c r="B258" s="80" t="s">
        <v>149</v>
      </c>
      <c r="C258" s="14"/>
      <c r="D258" s="14"/>
      <c r="E258" s="14"/>
      <c r="F258" s="21">
        <f>F171/F264</f>
        <v>0</v>
      </c>
      <c r="G258" s="21">
        <f t="shared" ref="G258:J258" si="104">G171/G264</f>
        <v>0</v>
      </c>
      <c r="H258" s="21">
        <f t="shared" si="104"/>
        <v>0</v>
      </c>
      <c r="I258" s="21">
        <f t="shared" si="104"/>
        <v>0</v>
      </c>
      <c r="J258" s="21">
        <f t="shared" si="104"/>
        <v>0</v>
      </c>
    </row>
    <row r="259" spans="1:10" x14ac:dyDescent="0.25">
      <c r="A259" s="14"/>
      <c r="B259" s="80" t="s">
        <v>150</v>
      </c>
      <c r="C259" s="14"/>
      <c r="D259" s="14"/>
      <c r="E259" s="14"/>
      <c r="F259" s="21">
        <f>F180/F264</f>
        <v>-13.945420906567994</v>
      </c>
      <c r="G259" s="21">
        <f t="shared" ref="G259:J259" si="105">G180/G264</f>
        <v>-13.612506349116769</v>
      </c>
      <c r="H259" s="21">
        <f t="shared" si="105"/>
        <v>-13.216025581666766</v>
      </c>
      <c r="I259" s="21">
        <f t="shared" si="105"/>
        <v>-12.831092797734726</v>
      </c>
      <c r="J259" s="21">
        <f t="shared" si="105"/>
        <v>-12.457371648286141</v>
      </c>
    </row>
    <row r="260" spans="1:10" x14ac:dyDescent="0.25">
      <c r="A260" s="14"/>
      <c r="B260" s="19" t="s">
        <v>77</v>
      </c>
      <c r="C260" s="19"/>
      <c r="D260" s="19"/>
      <c r="E260" s="81">
        <v>212.78913399999999</v>
      </c>
      <c r="F260" s="53">
        <f>SUM(F257:F259)</f>
        <v>198.843713093432</v>
      </c>
      <c r="G260" s="53">
        <f t="shared" ref="G260:J260" si="106">SUM(G257:G259)</f>
        <v>185.23120674431524</v>
      </c>
      <c r="H260" s="53">
        <f t="shared" si="106"/>
        <v>172.01518116264847</v>
      </c>
      <c r="I260" s="53">
        <f t="shared" si="106"/>
        <v>159.18408836491375</v>
      </c>
      <c r="J260" s="53">
        <f t="shared" si="106"/>
        <v>146.72671671662761</v>
      </c>
    </row>
    <row r="261" spans="1:10" ht="5.25" customHeight="1" x14ac:dyDescent="0.25">
      <c r="A261" s="14"/>
      <c r="B261" s="14"/>
      <c r="C261" s="14"/>
      <c r="D261" s="14"/>
      <c r="E261" s="14"/>
      <c r="F261" s="14"/>
      <c r="G261" s="14"/>
      <c r="H261" s="14"/>
      <c r="I261" s="14"/>
      <c r="J261" s="14"/>
    </row>
    <row r="262" spans="1:10" x14ac:dyDescent="0.25">
      <c r="A262" s="14"/>
      <c r="B262" s="14" t="s">
        <v>151</v>
      </c>
      <c r="C262" s="25">
        <f>C34</f>
        <v>0.76668724271745414</v>
      </c>
      <c r="D262" s="25">
        <f t="shared" ref="D262:E262" si="107">D34</f>
        <v>1.4</v>
      </c>
      <c r="E262" s="25">
        <f t="shared" si="107"/>
        <v>6.03</v>
      </c>
      <c r="F262" s="84">
        <v>3.68</v>
      </c>
      <c r="G262" s="84">
        <v>3.77</v>
      </c>
      <c r="H262" s="84">
        <f>G262*(1+H263)</f>
        <v>3.8831000000000002</v>
      </c>
      <c r="I262" s="84">
        <f>H262*(1+I263)</f>
        <v>3.9995930000000004</v>
      </c>
      <c r="J262" s="84">
        <f>I262*(1+J263)</f>
        <v>4.1195807900000005</v>
      </c>
    </row>
    <row r="263" spans="1:10" x14ac:dyDescent="0.25">
      <c r="A263" s="14"/>
      <c r="B263" s="14" t="s">
        <v>152</v>
      </c>
      <c r="C263" s="14"/>
      <c r="D263" s="28">
        <f>D262/C262-1</f>
        <v>0.82603794871794856</v>
      </c>
      <c r="E263" s="28">
        <f>E262/D262-1</f>
        <v>3.3071428571428578</v>
      </c>
      <c r="F263" s="28">
        <f>F262/E262-1</f>
        <v>-0.38971807628524047</v>
      </c>
      <c r="G263" s="28">
        <f>G262/F262-1</f>
        <v>2.4456521739130377E-2</v>
      </c>
      <c r="H263" s="29">
        <v>0.03</v>
      </c>
      <c r="I263" s="29">
        <v>0.03</v>
      </c>
      <c r="J263" s="29">
        <v>0.03</v>
      </c>
    </row>
    <row r="264" spans="1:10" x14ac:dyDescent="0.25">
      <c r="A264" s="14"/>
      <c r="B264" s="14" t="s">
        <v>153</v>
      </c>
      <c r="C264" s="14"/>
      <c r="D264" s="14"/>
      <c r="E264" s="83">
        <f>C6</f>
        <v>16.45</v>
      </c>
      <c r="F264" s="82">
        <f>E264*(1+F263)</f>
        <v>10.039137645107793</v>
      </c>
      <c r="G264" s="82">
        <f t="shared" ref="G264:J264" si="108">F264*(1+G263)</f>
        <v>10.284660033167494</v>
      </c>
      <c r="H264" s="82">
        <f t="shared" si="108"/>
        <v>10.593199834162519</v>
      </c>
      <c r="I264" s="82">
        <f t="shared" si="108"/>
        <v>10.910995829187394</v>
      </c>
      <c r="J264" s="82">
        <f t="shared" si="108"/>
        <v>11.238325704063016</v>
      </c>
    </row>
  </sheetData>
  <sheetProtection algorithmName="SHA-512" hashValue="iQTn+iGuSEplIwN1GR+SjlRPwiU9vlsArZsg2mR6D5EK7GMyX0sb1VoMsvGAUEavefgsP3tqLzLoaRKQ64JzQQ==" saltValue="XTWnuwh5YgVKdkzCXX2xrA==" spinCount="100000" sheet="1" objects="1" scenarios="1"/>
  <mergeCells count="2">
    <mergeCell ref="C1:E1"/>
    <mergeCell ref="F1:J1"/>
  </mergeCells>
  <dataValidations count="1">
    <dataValidation type="list" allowBlank="1" showInputMessage="1" showErrorMessage="1" sqref="C10" xr:uid="{07F2BC6B-A7CC-4405-A456-F197B4514439}">
      <formula1>"ON,OFF"</formula1>
    </dataValidation>
  </dataValidation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AD2ED6B8-2080-41CA-AC5A-5DB3349EB717}">
          <x14:formula1>
            <xm:f>SCENARIO!$B$34:$B$36</xm:f>
          </x14:formula1>
          <xm:sqref>C9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C2D76-82EE-4603-A8C1-9399E44CD07B}">
  <dimension ref="A1:J94"/>
  <sheetViews>
    <sheetView zoomScale="140" zoomScaleNormal="140" workbookViewId="0">
      <selection activeCell="N30" sqref="N30"/>
    </sheetView>
  </sheetViews>
  <sheetFormatPr defaultRowHeight="15" outlineLevelRow="1" x14ac:dyDescent="0.25"/>
  <cols>
    <col min="1" max="1" width="1.7109375" style="14" customWidth="1"/>
    <col min="2" max="2" width="47" style="14" bestFit="1" customWidth="1"/>
    <col min="3" max="10" width="13.7109375" style="14" customWidth="1"/>
    <col min="11" max="16384" width="9.140625" style="14"/>
  </cols>
  <sheetData>
    <row r="1" spans="1:10" x14ac:dyDescent="0.25">
      <c r="A1" s="2"/>
      <c r="B1" s="3" t="s">
        <v>351</v>
      </c>
      <c r="C1" s="192" t="s">
        <v>7</v>
      </c>
      <c r="D1" s="192"/>
      <c r="E1" s="192"/>
      <c r="F1" s="191" t="s">
        <v>8</v>
      </c>
      <c r="G1" s="191"/>
      <c r="H1" s="191"/>
      <c r="I1" s="191"/>
      <c r="J1" s="191"/>
    </row>
    <row r="2" spans="1:10" ht="28.5" x14ac:dyDescent="0.45">
      <c r="A2" s="2"/>
      <c r="B2" s="4" t="s">
        <v>155</v>
      </c>
      <c r="C2" s="77">
        <v>2017</v>
      </c>
      <c r="D2" s="77">
        <v>2018</v>
      </c>
      <c r="E2" s="77">
        <v>2019</v>
      </c>
      <c r="F2" s="78">
        <v>2020</v>
      </c>
      <c r="G2" s="78">
        <v>2021</v>
      </c>
      <c r="H2" s="78">
        <v>2022</v>
      </c>
      <c r="I2" s="78">
        <v>2023</v>
      </c>
      <c r="J2" s="78">
        <v>2024</v>
      </c>
    </row>
    <row r="3" spans="1:10" ht="5.25" customHeight="1" x14ac:dyDescent="0.25"/>
    <row r="4" spans="1:10" x14ac:dyDescent="0.25">
      <c r="B4" s="27" t="s">
        <v>156</v>
      </c>
    </row>
    <row r="5" spans="1:10" x14ac:dyDescent="0.25">
      <c r="B5" s="14" t="s">
        <v>2</v>
      </c>
      <c r="C5" s="86">
        <f>'XEROX FSM'!C6</f>
        <v>16.45</v>
      </c>
    </row>
    <row r="6" spans="1:10" x14ac:dyDescent="0.25">
      <c r="B6" s="14" t="s">
        <v>3</v>
      </c>
      <c r="C6" s="87">
        <f>'XEROX FSM'!C7</f>
        <v>43910</v>
      </c>
    </row>
    <row r="7" spans="1:10" x14ac:dyDescent="0.25">
      <c r="B7" s="14" t="s">
        <v>157</v>
      </c>
      <c r="C7" s="22">
        <v>212.78913399999999</v>
      </c>
    </row>
    <row r="8" spans="1:10" x14ac:dyDescent="0.25">
      <c r="B8" s="14" t="s">
        <v>158</v>
      </c>
      <c r="C8" s="29">
        <f>D94</f>
        <v>8.4564133592743063E-2</v>
      </c>
    </row>
    <row r="9" spans="1:10" ht="5.25" customHeight="1" x14ac:dyDescent="0.25">
      <c r="C9" s="88">
        <f>EOMONTH(D9,-12)</f>
        <v>43008</v>
      </c>
      <c r="D9" s="88">
        <f>EOMONTH(E9,-12)</f>
        <v>43373</v>
      </c>
      <c r="E9" s="88">
        <v>43736</v>
      </c>
      <c r="F9" s="88">
        <f>EOMONTH(E9,12)</f>
        <v>44104</v>
      </c>
      <c r="G9" s="88">
        <f>EOMONTH(F9,12)</f>
        <v>44469</v>
      </c>
      <c r="H9" s="88">
        <f>EOMONTH(G9,12)</f>
        <v>44834</v>
      </c>
      <c r="I9" s="88">
        <f>EOMONTH(H9,12)</f>
        <v>45199</v>
      </c>
      <c r="J9" s="88">
        <f>EOMONTH(I9,12)</f>
        <v>45565</v>
      </c>
    </row>
    <row r="10" spans="1:10" ht="28.5" x14ac:dyDescent="0.45">
      <c r="A10" s="13" t="s">
        <v>12</v>
      </c>
      <c r="B10" s="4" t="s">
        <v>159</v>
      </c>
      <c r="C10" s="2"/>
      <c r="D10" s="2"/>
      <c r="E10" s="2"/>
      <c r="F10" s="2"/>
      <c r="G10" s="2"/>
      <c r="H10" s="2"/>
      <c r="I10" s="2"/>
      <c r="J10" s="2"/>
    </row>
    <row r="11" spans="1:10" ht="5.25" customHeight="1" x14ac:dyDescent="0.25"/>
    <row r="12" spans="1:10" x14ac:dyDescent="0.25">
      <c r="B12" s="14" t="s">
        <v>40</v>
      </c>
      <c r="C12" s="89">
        <f>'XEROX FSM'!C47</f>
        <v>1104</v>
      </c>
      <c r="D12" s="89">
        <f>'XEROX FSM'!D47</f>
        <v>1132</v>
      </c>
      <c r="E12" s="89">
        <f>'XEROX FSM'!E47</f>
        <v>1302</v>
      </c>
      <c r="F12" s="89">
        <f ca="1">'XEROX FSM'!F47</f>
        <v>731.44832700000018</v>
      </c>
      <c r="G12" s="89">
        <f ca="1">'XEROX FSM'!G47</f>
        <v>748.83453517500016</v>
      </c>
      <c r="H12" s="89">
        <f ca="1">'XEROX FSM'!H47</f>
        <v>780.47626193375015</v>
      </c>
      <c r="I12" s="89">
        <f ca="1">'XEROX FSM'!I47</f>
        <v>825.62681723621245</v>
      </c>
      <c r="J12" s="89">
        <f ca="1">'XEROX FSM'!J47</f>
        <v>855.96142792704006</v>
      </c>
    </row>
    <row r="13" spans="1:10" x14ac:dyDescent="0.25">
      <c r="B13" s="14" t="s">
        <v>160</v>
      </c>
      <c r="C13" s="89">
        <f>'XEROX FSM'!C20</f>
        <v>525</v>
      </c>
      <c r="D13" s="89">
        <f>'XEROX FSM'!D20</f>
        <v>549</v>
      </c>
      <c r="E13" s="89">
        <f>'XEROX FSM'!E20</f>
        <v>822</v>
      </c>
      <c r="F13" s="89">
        <f ca="1">'XEROX FSM'!F20</f>
        <v>549.39960000000019</v>
      </c>
      <c r="G13" s="89">
        <f ca="1">'XEROX FSM'!G20</f>
        <v>563.13459000000012</v>
      </c>
      <c r="H13" s="89">
        <f ca="1">'XEROX FSM'!H20</f>
        <v>591.2913195000001</v>
      </c>
      <c r="I13" s="89">
        <f ca="1">'XEROX FSM'!I20</f>
        <v>620.85588547499992</v>
      </c>
      <c r="J13" s="89">
        <f ca="1">'XEROX FSM'!J20</f>
        <v>651.89867974875096</v>
      </c>
    </row>
    <row r="14" spans="1:10" s="42" customFormat="1" x14ac:dyDescent="0.25">
      <c r="B14" s="42" t="s">
        <v>36</v>
      </c>
      <c r="C14" s="90">
        <f>'XEROX FSM'!C42</f>
        <v>0.71111111111111114</v>
      </c>
      <c r="D14" s="90">
        <f>'XEROX FSM'!D42</f>
        <v>0.41867954911433175</v>
      </c>
      <c r="E14" s="90">
        <f>'XEROX FSM'!E42</f>
        <v>0.12142857142857143</v>
      </c>
      <c r="F14" s="90">
        <f>'XEROX FSM'!F42</f>
        <v>0.2</v>
      </c>
      <c r="G14" s="90">
        <f>'XEROX FSM'!G42</f>
        <v>0.22</v>
      </c>
      <c r="H14" s="90">
        <f>'XEROX FSM'!H42</f>
        <v>0.26</v>
      </c>
      <c r="I14" s="90">
        <f>'XEROX FSM'!I42</f>
        <v>0.25</v>
      </c>
      <c r="J14" s="90">
        <f>'XEROX FSM'!J42</f>
        <v>0.25</v>
      </c>
    </row>
    <row r="15" spans="1:10" x14ac:dyDescent="0.25">
      <c r="B15" s="19" t="s">
        <v>161</v>
      </c>
      <c r="C15" s="20">
        <f>C13*(1-C14)</f>
        <v>151.66666666666666</v>
      </c>
      <c r="D15" s="20">
        <f t="shared" ref="D15:E15" si="0">D13*(1-D14)</f>
        <v>319.14492753623182</v>
      </c>
      <c r="E15" s="20">
        <f t="shared" si="0"/>
        <v>722.18571428571431</v>
      </c>
      <c r="F15" s="20">
        <f ca="1">F13*(1-F14)</f>
        <v>439.51968000000016</v>
      </c>
      <c r="G15" s="20">
        <f ca="1">G13*(1-G14)</f>
        <v>439.2449802000001</v>
      </c>
      <c r="H15" s="20">
        <f ca="1">H13*(1-H14)</f>
        <v>437.55557643000009</v>
      </c>
      <c r="I15" s="20">
        <f ca="1">I13*(1-I14)</f>
        <v>465.64191410624994</v>
      </c>
      <c r="J15" s="20">
        <f ca="1">J13*(1-J14)</f>
        <v>488.92400981156322</v>
      </c>
    </row>
    <row r="16" spans="1:10" ht="5.25" customHeight="1" x14ac:dyDescent="0.25"/>
    <row r="17" spans="2:10" x14ac:dyDescent="0.25">
      <c r="B17" s="1" t="s">
        <v>38</v>
      </c>
      <c r="F17" s="89">
        <f ca="1">'XEROX FSM'!F202</f>
        <v>139.01242500000001</v>
      </c>
      <c r="G17" s="89">
        <f ca="1">'XEROX FSM'!G202</f>
        <v>141.58773562499999</v>
      </c>
      <c r="H17" s="89">
        <f ca="1">'XEROX FSM'!H202</f>
        <v>142.86712240624999</v>
      </c>
      <c r="I17" s="89">
        <f ca="1">'XEROX FSM'!I202</f>
        <v>146.41047852656251</v>
      </c>
      <c r="J17" s="89">
        <f ca="1">'XEROX FSM'!J202</f>
        <v>140.23100245289064</v>
      </c>
    </row>
    <row r="18" spans="2:10" x14ac:dyDescent="0.25">
      <c r="B18" s="1" t="s">
        <v>39</v>
      </c>
      <c r="F18" s="89">
        <f ca="1">'XEROX FSM'!F203</f>
        <v>43.036301999999999</v>
      </c>
      <c r="G18" s="89">
        <f ca="1">'XEROX FSM'!G203</f>
        <v>44.112209549999996</v>
      </c>
      <c r="H18" s="89">
        <f ca="1">'XEROX FSM'!H203</f>
        <v>46.317820027500005</v>
      </c>
      <c r="I18" s="89">
        <f ca="1">'XEROX FSM'!I203</f>
        <v>58.360453234650009</v>
      </c>
      <c r="J18" s="89">
        <f ca="1">'XEROX FSM'!J203</f>
        <v>63.831745725398449</v>
      </c>
    </row>
    <row r="19" spans="2:10" x14ac:dyDescent="0.25">
      <c r="B19" s="1" t="s">
        <v>43</v>
      </c>
      <c r="F19" s="89">
        <f ca="1">'XEROX FSM'!F204</f>
        <v>8.6700000000000728</v>
      </c>
      <c r="G19" s="89">
        <f ca="1">'XEROX FSM'!G204</f>
        <v>-114.45824999999968</v>
      </c>
      <c r="H19" s="89">
        <f ca="1">'XEROX FSM'!H204</f>
        <v>-234.63941250000062</v>
      </c>
      <c r="I19" s="89">
        <f ca="1">'XEROX FSM'!I204</f>
        <v>-246.37138312500065</v>
      </c>
      <c r="J19" s="89">
        <f ca="1">'XEROX FSM'!J204</f>
        <v>-258.68995228125004</v>
      </c>
    </row>
    <row r="20" spans="2:10" x14ac:dyDescent="0.25">
      <c r="B20" s="1" t="s">
        <v>44</v>
      </c>
      <c r="F20" s="89">
        <f ca="1">'XEROX FSM'!F205</f>
        <v>-33.954469999999901</v>
      </c>
      <c r="G20" s="89">
        <f ca="1">'XEROX FSM'!G205</f>
        <v>-18.198861750000106</v>
      </c>
      <c r="H20" s="89">
        <f ca="1">'XEROX FSM'!H205</f>
        <v>-37.30766658750008</v>
      </c>
      <c r="I20" s="89">
        <f ca="1">'XEROX FSM'!I205</f>
        <v>-39.173049916875129</v>
      </c>
      <c r="J20" s="89">
        <f ca="1">'XEROX FSM'!J205</f>
        <v>-41.131702412718596</v>
      </c>
    </row>
    <row r="21" spans="2:10" x14ac:dyDescent="0.25">
      <c r="B21" s="1" t="s">
        <v>47</v>
      </c>
      <c r="F21" s="89">
        <f ca="1">'XEROX FSM'!F206</f>
        <v>45.799199999999928</v>
      </c>
      <c r="G21" s="89">
        <f ca="1">'XEROX FSM'!G206</f>
        <v>27.46997999999985</v>
      </c>
      <c r="H21" s="89">
        <f ca="1">'XEROX FSM'!H206</f>
        <v>56.313459000000194</v>
      </c>
      <c r="I21" s="89">
        <f ca="1">'XEROX FSM'!I206</f>
        <v>59.129131950000101</v>
      </c>
      <c r="J21" s="89">
        <f ca="1">'XEROX FSM'!J206</f>
        <v>62.085588547500038</v>
      </c>
    </row>
    <row r="22" spans="2:10" x14ac:dyDescent="0.25">
      <c r="B22" s="1" t="s">
        <v>67</v>
      </c>
      <c r="F22" s="89">
        <f>'XEROX FSM'!F207</f>
        <v>0</v>
      </c>
      <c r="G22" s="89">
        <f>'XEROX FSM'!G207</f>
        <v>0</v>
      </c>
      <c r="H22" s="89">
        <f>'XEROX FSM'!H207</f>
        <v>0</v>
      </c>
      <c r="I22" s="89">
        <f>'XEROX FSM'!I207</f>
        <v>0</v>
      </c>
      <c r="J22" s="89">
        <f>'XEROX FSM'!J207</f>
        <v>0</v>
      </c>
    </row>
    <row r="23" spans="2:10" x14ac:dyDescent="0.25">
      <c r="B23" s="1" t="s">
        <v>123</v>
      </c>
      <c r="F23" s="89">
        <f>'XEROX FSM'!F208</f>
        <v>0</v>
      </c>
      <c r="G23" s="89">
        <f>'XEROX FSM'!G208</f>
        <v>0</v>
      </c>
      <c r="H23" s="89">
        <f>'XEROX FSM'!H208</f>
        <v>0</v>
      </c>
      <c r="I23" s="89">
        <f>'XEROX FSM'!I208</f>
        <v>0</v>
      </c>
      <c r="J23" s="89">
        <f>'XEROX FSM'!J208</f>
        <v>0</v>
      </c>
    </row>
    <row r="24" spans="2:10" x14ac:dyDescent="0.25">
      <c r="B24" s="1" t="s">
        <v>97</v>
      </c>
      <c r="F24" s="89">
        <f>'XEROX FSM'!F209</f>
        <v>0</v>
      </c>
      <c r="G24" s="89">
        <f>'XEROX FSM'!G209</f>
        <v>0</v>
      </c>
      <c r="H24" s="89">
        <f>'XEROX FSM'!H209</f>
        <v>0</v>
      </c>
      <c r="I24" s="89">
        <f>'XEROX FSM'!I209</f>
        <v>0</v>
      </c>
      <c r="J24" s="89">
        <f>'XEROX FSM'!J209</f>
        <v>0</v>
      </c>
    </row>
    <row r="25" spans="2:10" x14ac:dyDescent="0.25">
      <c r="B25" s="1" t="s">
        <v>124</v>
      </c>
      <c r="F25" s="89">
        <f>'XEROX FSM'!F210</f>
        <v>0</v>
      </c>
      <c r="G25" s="89">
        <f>'XEROX FSM'!G210</f>
        <v>0</v>
      </c>
      <c r="H25" s="89">
        <f>'XEROX FSM'!H210</f>
        <v>0</v>
      </c>
      <c r="I25" s="89">
        <f>'XEROX FSM'!I210</f>
        <v>0</v>
      </c>
      <c r="J25" s="89">
        <f>'XEROX FSM'!J210</f>
        <v>0</v>
      </c>
    </row>
    <row r="26" spans="2:10" x14ac:dyDescent="0.25">
      <c r="B26" s="19" t="s">
        <v>162</v>
      </c>
      <c r="C26" s="19"/>
      <c r="D26" s="19"/>
      <c r="E26" s="19"/>
      <c r="F26" s="20">
        <f ca="1">F15+SUM(F17:F25)</f>
        <v>642.08313700000031</v>
      </c>
      <c r="G26" s="20">
        <f ca="1">G15+SUM(G17:G25)</f>
        <v>519.7577936250002</v>
      </c>
      <c r="H26" s="20">
        <f ca="1">H15+SUM(H17:H25)</f>
        <v>411.10689877624958</v>
      </c>
      <c r="I26" s="20">
        <f ca="1">I15+SUM(I17:I25)</f>
        <v>443.99754477558679</v>
      </c>
      <c r="J26" s="20">
        <f ca="1">J15+SUM(J17:J25)</f>
        <v>455.25069184338372</v>
      </c>
    </row>
    <row r="27" spans="2:10" ht="5.25" customHeight="1" x14ac:dyDescent="0.25"/>
    <row r="28" spans="2:10" x14ac:dyDescent="0.25">
      <c r="B28" s="14" t="s">
        <v>163</v>
      </c>
      <c r="F28" s="89">
        <f ca="1">'XEROX FSM'!F213</f>
        <v>-68.674949999999995</v>
      </c>
      <c r="G28" s="89">
        <f ca="1">'XEROX FSM'!G213</f>
        <v>-70.391823749999986</v>
      </c>
      <c r="H28" s="89">
        <f ca="1">'XEROX FSM'!H213</f>
        <v>-73.911414937499998</v>
      </c>
      <c r="I28" s="89">
        <f ca="1">'XEROX FSM'!I213</f>
        <v>-77.606985684375005</v>
      </c>
      <c r="J28" s="89">
        <f ca="1">'XEROX FSM'!J213</f>
        <v>-81.487334968593757</v>
      </c>
    </row>
    <row r="29" spans="2:10" x14ac:dyDescent="0.25">
      <c r="B29" s="14" t="s">
        <v>168</v>
      </c>
      <c r="F29" s="89">
        <f>'XEROX FSM'!F214</f>
        <v>0</v>
      </c>
      <c r="G29" s="89">
        <f>'XEROX FSM'!G214</f>
        <v>0</v>
      </c>
      <c r="H29" s="89">
        <f>'XEROX FSM'!H214</f>
        <v>0</v>
      </c>
      <c r="I29" s="89">
        <f>'XEROX FSM'!I214</f>
        <v>0</v>
      </c>
      <c r="J29" s="89">
        <f>'XEROX FSM'!J214</f>
        <v>0</v>
      </c>
    </row>
    <row r="30" spans="2:10" x14ac:dyDescent="0.25">
      <c r="B30" s="19" t="s">
        <v>164</v>
      </c>
      <c r="C30" s="19"/>
      <c r="D30" s="19"/>
      <c r="E30" s="19"/>
      <c r="F30" s="20">
        <f ca="1">F26+SUM(F28:F29)</f>
        <v>573.40818700000034</v>
      </c>
      <c r="G30" s="20">
        <f ca="1">G26+SUM(G28:G29)</f>
        <v>449.36596987500025</v>
      </c>
      <c r="H30" s="20">
        <f ca="1">H26+SUM(H28:H29)</f>
        <v>337.19548383874957</v>
      </c>
      <c r="I30" s="20">
        <f ca="1">I26+SUM(I28:I29)</f>
        <v>366.3905590912118</v>
      </c>
      <c r="J30" s="20">
        <f ca="1">J26+SUM(J28:J29)</f>
        <v>373.76335687478996</v>
      </c>
    </row>
    <row r="31" spans="2:10" ht="5.25" customHeight="1" x14ac:dyDescent="0.25"/>
    <row r="32" spans="2:10" x14ac:dyDescent="0.25">
      <c r="B32" s="42" t="s">
        <v>165</v>
      </c>
      <c r="C32" s="42"/>
      <c r="D32" s="42"/>
      <c r="E32" s="42"/>
      <c r="F32" s="42"/>
      <c r="G32" s="91">
        <f ca="1">G30/F30-1</f>
        <v>-0.21632446124282489</v>
      </c>
      <c r="H32" s="91">
        <f ca="1">H30/G30-1</f>
        <v>-0.24961944952674775</v>
      </c>
      <c r="I32" s="91">
        <f ca="1">I30/H30-1</f>
        <v>8.6582047066868784E-2</v>
      </c>
      <c r="J32" s="91">
        <f ca="1">J30/I30-1</f>
        <v>2.0122783190335225E-2</v>
      </c>
    </row>
    <row r="33" spans="1:10" ht="5.25" customHeight="1" x14ac:dyDescent="0.25"/>
    <row r="34" spans="1:10" x14ac:dyDescent="0.25">
      <c r="B34" s="42" t="s">
        <v>166</v>
      </c>
      <c r="F34" s="91">
        <f>YEARFRAC($C$6,F9)</f>
        <v>0.52777777777777779</v>
      </c>
      <c r="G34" s="91">
        <f t="shared" ref="G34:J34" si="1">YEARFRAC($C$6,G9)</f>
        <v>1.5277777777777777</v>
      </c>
      <c r="H34" s="91">
        <f t="shared" si="1"/>
        <v>2.5277777777777777</v>
      </c>
      <c r="I34" s="91">
        <f t="shared" si="1"/>
        <v>3.5277777777777777</v>
      </c>
      <c r="J34" s="91">
        <f t="shared" si="1"/>
        <v>4.5277777777777777</v>
      </c>
    </row>
    <row r="35" spans="1:10" x14ac:dyDescent="0.25">
      <c r="B35" s="19" t="s">
        <v>167</v>
      </c>
      <c r="C35" s="19"/>
      <c r="D35" s="19"/>
      <c r="E35" s="19"/>
      <c r="F35" s="20">
        <f ca="1">F30/(1+$C$8)^F34</f>
        <v>549.35990351432849</v>
      </c>
      <c r="G35" s="20">
        <f ca="1">G30/(1+$C$8)^G34</f>
        <v>396.95201512153511</v>
      </c>
      <c r="H35" s="20">
        <f ca="1">H30/(1+$C$8)^H34</f>
        <v>274.64034849802022</v>
      </c>
      <c r="I35" s="20">
        <f ca="1">I30/(1+$C$8)^I34</f>
        <v>275.15133760655442</v>
      </c>
      <c r="J35" s="20">
        <f ca="1">J30/(1+$C$8)^J34</f>
        <v>258.80272048821143</v>
      </c>
    </row>
    <row r="36" spans="1:10" ht="5.25" customHeight="1" x14ac:dyDescent="0.25"/>
    <row r="37" spans="1:10" ht="28.5" x14ac:dyDescent="0.45">
      <c r="A37" s="13" t="s">
        <v>12</v>
      </c>
      <c r="B37" s="4" t="s">
        <v>169</v>
      </c>
      <c r="C37" s="2"/>
      <c r="D37" s="2"/>
      <c r="E37" s="2"/>
      <c r="F37" s="2"/>
      <c r="G37" s="2"/>
      <c r="H37" s="2"/>
      <c r="I37" s="2"/>
      <c r="J37" s="2"/>
    </row>
    <row r="38" spans="1:10" ht="5.25" customHeight="1" x14ac:dyDescent="0.25"/>
    <row r="39" spans="1:10" x14ac:dyDescent="0.25">
      <c r="B39" s="27" t="s">
        <v>170</v>
      </c>
      <c r="E39" s="27" t="s">
        <v>171</v>
      </c>
    </row>
    <row r="40" spans="1:10" x14ac:dyDescent="0.25">
      <c r="B40" s="14" t="s">
        <v>172</v>
      </c>
      <c r="C40" s="18">
        <f ca="1">J30</f>
        <v>373.76335687478996</v>
      </c>
      <c r="E40" s="14" t="s">
        <v>173</v>
      </c>
      <c r="H40" s="18">
        <f ca="1">J12</f>
        <v>855.96142792704006</v>
      </c>
    </row>
    <row r="41" spans="1:10" x14ac:dyDescent="0.25">
      <c r="B41" s="14" t="s">
        <v>174</v>
      </c>
      <c r="C41" s="18">
        <f ca="1">C40*(1+C42)</f>
        <v>384.97625758103368</v>
      </c>
      <c r="E41" s="14" t="s">
        <v>175</v>
      </c>
      <c r="H41" s="92">
        <v>10.45</v>
      </c>
    </row>
    <row r="42" spans="1:10" x14ac:dyDescent="0.25">
      <c r="B42" s="14" t="s">
        <v>176</v>
      </c>
      <c r="C42" s="31">
        <v>0.03</v>
      </c>
      <c r="E42" s="14" t="s">
        <v>177</v>
      </c>
      <c r="H42" s="18">
        <f ca="1">H41*H40</f>
        <v>8944.7969218375674</v>
      </c>
    </row>
    <row r="43" spans="1:10" x14ac:dyDescent="0.25">
      <c r="B43" s="14" t="s">
        <v>177</v>
      </c>
      <c r="C43" s="18">
        <f ca="1">C41/(C8-C42)</f>
        <v>7055.481911514029</v>
      </c>
      <c r="E43" s="14" t="s">
        <v>178</v>
      </c>
      <c r="H43" s="18">
        <f ca="1">H42/(C8+1)^J34</f>
        <v>6193.59210849993</v>
      </c>
    </row>
    <row r="44" spans="1:10" x14ac:dyDescent="0.25">
      <c r="B44" s="14" t="s">
        <v>178</v>
      </c>
      <c r="C44" s="18">
        <f ca="1">C43/(1+C8)^J34</f>
        <v>4885.3850423515332</v>
      </c>
      <c r="E44" s="14" t="s">
        <v>179</v>
      </c>
      <c r="H44" s="18">
        <f ca="1">SUM(F35:J35)</f>
        <v>1754.9063252286496</v>
      </c>
    </row>
    <row r="45" spans="1:10" x14ac:dyDescent="0.25">
      <c r="B45" s="14" t="s">
        <v>179</v>
      </c>
      <c r="C45" s="18">
        <f ca="1">SUM(F35:J35)</f>
        <v>1754.9063252286496</v>
      </c>
      <c r="E45" s="19" t="s">
        <v>180</v>
      </c>
      <c r="F45" s="75"/>
      <c r="G45" s="75"/>
      <c r="H45" s="20">
        <f ca="1">SUM(H43:H44)</f>
        <v>7948.4984337285796</v>
      </c>
    </row>
    <row r="46" spans="1:10" x14ac:dyDescent="0.25">
      <c r="B46" s="19" t="s">
        <v>180</v>
      </c>
      <c r="C46" s="20">
        <f ca="1">SUM(C44:C45)</f>
        <v>6640.2913675801829</v>
      </c>
      <c r="E46" s="42" t="s">
        <v>181</v>
      </c>
      <c r="H46" s="93">
        <f ca="1">(C8-J30/H42)/(1+J30/H42)</f>
        <v>4.1062742906494684E-2</v>
      </c>
    </row>
    <row r="47" spans="1:10" x14ac:dyDescent="0.25">
      <c r="B47" s="42" t="s">
        <v>182</v>
      </c>
      <c r="C47" s="94">
        <f ca="1">C43/J13</f>
        <v>10.822973156247672</v>
      </c>
    </row>
    <row r="48" spans="1:10" ht="5.25" customHeight="1" x14ac:dyDescent="0.25"/>
    <row r="49" spans="1:10" ht="23.25" x14ac:dyDescent="0.35">
      <c r="A49" s="49"/>
      <c r="B49" s="50" t="s">
        <v>183</v>
      </c>
      <c r="C49" s="49"/>
      <c r="D49" s="49"/>
      <c r="E49" s="49"/>
      <c r="F49" s="49"/>
      <c r="G49" s="49"/>
      <c r="H49" s="49"/>
      <c r="I49" s="49"/>
      <c r="J49" s="49"/>
    </row>
    <row r="50" spans="1:10" ht="5.25" customHeight="1" outlineLevel="1" x14ac:dyDescent="0.25"/>
    <row r="51" spans="1:10" outlineLevel="1" x14ac:dyDescent="0.25">
      <c r="B51" s="14" t="s">
        <v>184</v>
      </c>
      <c r="C51" s="22">
        <v>2740</v>
      </c>
    </row>
    <row r="52" spans="1:10" outlineLevel="1" x14ac:dyDescent="0.25">
      <c r="B52" s="14" t="s">
        <v>185</v>
      </c>
      <c r="C52" s="22">
        <v>4282</v>
      </c>
    </row>
    <row r="53" spans="1:10" outlineLevel="1" x14ac:dyDescent="0.25">
      <c r="B53" s="14" t="s">
        <v>186</v>
      </c>
      <c r="C53" s="22">
        <v>127</v>
      </c>
    </row>
    <row r="54" spans="1:10" outlineLevel="1" x14ac:dyDescent="0.25">
      <c r="B54" s="19" t="s">
        <v>187</v>
      </c>
      <c r="C54" s="20">
        <f>C52-C51</f>
        <v>1542</v>
      </c>
    </row>
    <row r="55" spans="1:10" ht="5.25" customHeight="1" outlineLevel="1" x14ac:dyDescent="0.25"/>
    <row r="56" spans="1:10" outlineLevel="1" x14ac:dyDescent="0.25">
      <c r="B56" s="14" t="s">
        <v>26</v>
      </c>
      <c r="C56" s="18">
        <f>C7</f>
        <v>212.78913399999999</v>
      </c>
    </row>
    <row r="57" spans="1:10" outlineLevel="1" x14ac:dyDescent="0.25">
      <c r="B57" s="14" t="s">
        <v>188</v>
      </c>
      <c r="C57" s="22">
        <v>233</v>
      </c>
      <c r="D57" s="22"/>
    </row>
    <row r="58" spans="1:10" outlineLevel="1" x14ac:dyDescent="0.25">
      <c r="B58" s="14" t="s">
        <v>189</v>
      </c>
      <c r="C58" s="15">
        <v>27.83</v>
      </c>
      <c r="D58" s="15"/>
    </row>
    <row r="59" spans="1:10" outlineLevel="1" x14ac:dyDescent="0.25">
      <c r="B59" s="14" t="s">
        <v>190</v>
      </c>
      <c r="C59" s="18">
        <f>IF(C58&lt;C6,C57,0)</f>
        <v>233</v>
      </c>
    </row>
    <row r="60" spans="1:10" outlineLevel="1" x14ac:dyDescent="0.25">
      <c r="B60" s="14" t="s">
        <v>191</v>
      </c>
      <c r="C60" s="18">
        <f>C59*C58</f>
        <v>6484.3899999999994</v>
      </c>
    </row>
    <row r="61" spans="1:10" outlineLevel="1" x14ac:dyDescent="0.25">
      <c r="B61" s="14" t="s">
        <v>192</v>
      </c>
      <c r="C61" s="18">
        <f>C60/C5</f>
        <v>394.18784194528871</v>
      </c>
    </row>
    <row r="62" spans="1:10" outlineLevel="1" x14ac:dyDescent="0.25">
      <c r="B62" s="14" t="s">
        <v>193</v>
      </c>
      <c r="C62" s="18">
        <f>-(C59-C61)</f>
        <v>161.18784194528871</v>
      </c>
    </row>
    <row r="63" spans="1:10" outlineLevel="1" x14ac:dyDescent="0.25">
      <c r="B63" s="14" t="s">
        <v>194</v>
      </c>
      <c r="C63" s="22">
        <v>0</v>
      </c>
    </row>
    <row r="64" spans="1:10" outlineLevel="1" x14ac:dyDescent="0.25">
      <c r="B64" s="19" t="s">
        <v>195</v>
      </c>
      <c r="C64" s="53">
        <f>C63+C62+C56</f>
        <v>373.9769759452887</v>
      </c>
    </row>
    <row r="65" spans="1:10" ht="5.25" customHeight="1" x14ac:dyDescent="0.25"/>
    <row r="66" spans="1:10" ht="28.5" x14ac:dyDescent="0.45">
      <c r="A66" s="13" t="s">
        <v>12</v>
      </c>
      <c r="B66" s="4" t="s">
        <v>196</v>
      </c>
      <c r="C66" s="2"/>
      <c r="D66" s="2"/>
      <c r="E66" s="2"/>
      <c r="F66" s="2"/>
      <c r="G66" s="2"/>
      <c r="H66" s="2"/>
      <c r="I66" s="2"/>
      <c r="J66" s="2"/>
    </row>
    <row r="67" spans="1:10" ht="5.25" customHeight="1" x14ac:dyDescent="0.25"/>
    <row r="68" spans="1:10" x14ac:dyDescent="0.25">
      <c r="C68" s="95" t="s">
        <v>197</v>
      </c>
      <c r="D68" s="95" t="s">
        <v>40</v>
      </c>
    </row>
    <row r="69" spans="1:10" x14ac:dyDescent="0.25">
      <c r="B69" s="14" t="s">
        <v>198</v>
      </c>
      <c r="C69" s="96">
        <f ca="1">C46</f>
        <v>6640.2913675801829</v>
      </c>
      <c r="D69" s="97">
        <f ca="1">H45</f>
        <v>7948.4984337285796</v>
      </c>
    </row>
    <row r="70" spans="1:10" x14ac:dyDescent="0.25">
      <c r="B70" s="14" t="s">
        <v>199</v>
      </c>
      <c r="C70" s="96">
        <f>-(C54)</f>
        <v>-1542</v>
      </c>
      <c r="D70" s="96">
        <f>-(C54)</f>
        <v>-1542</v>
      </c>
    </row>
    <row r="71" spans="1:10" x14ac:dyDescent="0.25">
      <c r="B71" s="14" t="s">
        <v>200</v>
      </c>
      <c r="C71" s="96">
        <f>-(C53)</f>
        <v>-127</v>
      </c>
      <c r="D71" s="98">
        <f>-(C53)</f>
        <v>-127</v>
      </c>
    </row>
    <row r="72" spans="1:10" x14ac:dyDescent="0.25">
      <c r="B72" s="19" t="s">
        <v>201</v>
      </c>
      <c r="C72" s="99">
        <f ca="1">C69+C70+C71</f>
        <v>4971.2913675801829</v>
      </c>
      <c r="D72" s="99">
        <f ca="1">D69+D70+D71</f>
        <v>6279.4984337285796</v>
      </c>
    </row>
    <row r="73" spans="1:10" ht="5.25" customHeight="1" x14ac:dyDescent="0.25">
      <c r="C73" s="100"/>
      <c r="D73" s="101"/>
    </row>
    <row r="74" spans="1:10" x14ac:dyDescent="0.25">
      <c r="B74" s="14" t="s">
        <v>202</v>
      </c>
      <c r="C74" s="96">
        <f>C64</f>
        <v>373.9769759452887</v>
      </c>
      <c r="D74" s="98">
        <f>C64</f>
        <v>373.9769759452887</v>
      </c>
    </row>
    <row r="75" spans="1:10" x14ac:dyDescent="0.25">
      <c r="B75" s="19" t="s">
        <v>203</v>
      </c>
      <c r="C75" s="102">
        <f ca="1">C72/C74</f>
        <v>13.293041249436335</v>
      </c>
      <c r="D75" s="102">
        <f ca="1">D72/D74</f>
        <v>16.791136453938396</v>
      </c>
    </row>
    <row r="76" spans="1:10" x14ac:dyDescent="0.25">
      <c r="B76" s="42" t="s">
        <v>204</v>
      </c>
      <c r="C76" s="103">
        <f ca="1">$C$5/C75-1</f>
        <v>0.23748957754099553</v>
      </c>
      <c r="D76" s="104">
        <f ca="1">$C$5/D75-1</f>
        <v>-2.0316460108236623E-2</v>
      </c>
    </row>
    <row r="77" spans="1:10" ht="5.25" customHeight="1" x14ac:dyDescent="0.25"/>
    <row r="78" spans="1:10" ht="28.5" x14ac:dyDescent="0.45">
      <c r="A78" s="13" t="s">
        <v>12</v>
      </c>
      <c r="B78" s="4" t="s">
        <v>205</v>
      </c>
      <c r="C78" s="2"/>
      <c r="D78" s="2"/>
      <c r="E78" s="2"/>
      <c r="F78" s="2"/>
      <c r="G78" s="2"/>
      <c r="H78" s="2"/>
      <c r="I78" s="2"/>
      <c r="J78" s="2"/>
    </row>
    <row r="79" spans="1:10" ht="5.25" customHeight="1" x14ac:dyDescent="0.25"/>
    <row r="80" spans="1:10" x14ac:dyDescent="0.25">
      <c r="B80" s="27" t="s">
        <v>206</v>
      </c>
    </row>
    <row r="81" spans="2:4" x14ac:dyDescent="0.25">
      <c r="B81" s="14" t="s">
        <v>207</v>
      </c>
      <c r="C81" s="31">
        <v>5.5E-2</v>
      </c>
    </row>
    <row r="82" spans="2:4" x14ac:dyDescent="0.25">
      <c r="B82" s="14" t="s">
        <v>36</v>
      </c>
      <c r="C82" s="29">
        <f>J14</f>
        <v>0.25</v>
      </c>
    </row>
    <row r="83" spans="2:4" x14ac:dyDescent="0.25">
      <c r="B83" s="19" t="s">
        <v>208</v>
      </c>
      <c r="C83" s="105">
        <f>C81*(1+C82)</f>
        <v>6.8750000000000006E-2</v>
      </c>
    </row>
    <row r="84" spans="2:4" ht="5.25" customHeight="1" x14ac:dyDescent="0.25"/>
    <row r="85" spans="2:4" x14ac:dyDescent="0.25">
      <c r="B85" s="27" t="s">
        <v>209</v>
      </c>
    </row>
    <row r="86" spans="2:4" x14ac:dyDescent="0.25">
      <c r="B86" s="14" t="s">
        <v>210</v>
      </c>
      <c r="C86" s="31">
        <v>1.1299999999999999E-2</v>
      </c>
    </row>
    <row r="87" spans="2:4" x14ac:dyDescent="0.25">
      <c r="B87" s="14" t="s">
        <v>211</v>
      </c>
      <c r="C87" s="61">
        <v>1.72</v>
      </c>
    </row>
    <row r="88" spans="2:4" x14ac:dyDescent="0.25">
      <c r="B88" s="14" t="s">
        <v>212</v>
      </c>
      <c r="C88" s="31">
        <v>4.4900000000000002E-2</v>
      </c>
    </row>
    <row r="89" spans="2:4" x14ac:dyDescent="0.25">
      <c r="B89" s="19" t="s">
        <v>213</v>
      </c>
      <c r="C89" s="105">
        <f>C86+C87*C88</f>
        <v>8.8528000000000009E-2</v>
      </c>
    </row>
    <row r="90" spans="2:4" ht="5.25" customHeight="1" x14ac:dyDescent="0.25"/>
    <row r="91" spans="2:4" x14ac:dyDescent="0.25">
      <c r="C91" s="95" t="s">
        <v>214</v>
      </c>
      <c r="D91" s="95" t="s">
        <v>215</v>
      </c>
    </row>
    <row r="92" spans="2:4" x14ac:dyDescent="0.25">
      <c r="B92" s="14" t="s">
        <v>216</v>
      </c>
      <c r="C92" s="18">
        <f>C5*C64</f>
        <v>6151.9212542999985</v>
      </c>
      <c r="D92" s="29">
        <f>1-D93</f>
        <v>0.79958204028430846</v>
      </c>
    </row>
    <row r="93" spans="2:4" x14ac:dyDescent="0.25">
      <c r="B93" s="14" t="s">
        <v>59</v>
      </c>
      <c r="C93" s="18">
        <f>C54</f>
        <v>1542</v>
      </c>
      <c r="D93" s="29">
        <f>C93/(C93+C92)</f>
        <v>0.20041795971569154</v>
      </c>
    </row>
    <row r="94" spans="2:4" x14ac:dyDescent="0.25">
      <c r="B94" s="19" t="s">
        <v>217</v>
      </c>
      <c r="C94" s="75"/>
      <c r="D94" s="105">
        <f>C83*D93+C89*D92</f>
        <v>8.4564133592743063E-2</v>
      </c>
    </row>
  </sheetData>
  <sheetProtection algorithmName="SHA-512" hashValue="Ddo5DQ7MOlk8UwPwk3lUAay4O5Qi08QP+XGz9uOfPB+LkSw/dCV1MVBjURdwapXg9X81+RDd9wbjJGZD1jFptQ==" saltValue="4WFNYSpuli+I05aZ0eYlmg==" spinCount="100000" sheet="1" objects="1" scenarios="1"/>
  <mergeCells count="2">
    <mergeCell ref="C1:E1"/>
    <mergeCell ref="F1:J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0193B-24E7-43FC-BE72-6030D789D0D7}">
  <dimension ref="A1:M88"/>
  <sheetViews>
    <sheetView zoomScale="140" zoomScaleNormal="140" workbookViewId="0">
      <selection activeCell="N61" sqref="N61"/>
    </sheetView>
  </sheetViews>
  <sheetFormatPr defaultRowHeight="15" x14ac:dyDescent="0.25"/>
  <cols>
    <col min="1" max="1" width="1.7109375" style="14" customWidth="1"/>
    <col min="2" max="2" width="43.7109375" style="14" bestFit="1" customWidth="1"/>
    <col min="3" max="3" width="13.7109375" style="14" customWidth="1"/>
    <col min="4" max="4" width="1.5703125" style="14" customWidth="1"/>
    <col min="5" max="5" width="43.7109375" style="14" bestFit="1" customWidth="1"/>
    <col min="6" max="6" width="13.7109375" style="14" customWidth="1"/>
    <col min="7" max="7" width="1.7109375" style="14" customWidth="1"/>
    <col min="8" max="8" width="41.7109375" style="14" bestFit="1" customWidth="1"/>
    <col min="9" max="13" width="13.7109375" style="14" customWidth="1"/>
    <col min="14" max="16384" width="9.140625" style="14"/>
  </cols>
  <sheetData>
    <row r="1" spans="1:13" x14ac:dyDescent="0.25">
      <c r="A1" s="2"/>
      <c r="B1" s="3" t="s">
        <v>351</v>
      </c>
      <c r="C1" s="2"/>
      <c r="D1" s="2"/>
      <c r="E1" s="2"/>
      <c r="F1" s="2"/>
      <c r="G1" s="2"/>
      <c r="H1" s="2"/>
      <c r="I1" s="2"/>
      <c r="J1" s="2"/>
      <c r="K1" s="2"/>
      <c r="L1" s="2"/>
      <c r="M1" s="2"/>
    </row>
    <row r="2" spans="1:13" ht="28.5" x14ac:dyDescent="0.45">
      <c r="A2" s="2"/>
      <c r="B2" s="4" t="s">
        <v>348</v>
      </c>
      <c r="C2" s="2"/>
      <c r="D2" s="2"/>
      <c r="E2" s="2"/>
      <c r="F2" s="2"/>
      <c r="G2" s="2"/>
      <c r="H2" s="2"/>
      <c r="I2" s="2"/>
      <c r="J2" s="2"/>
      <c r="K2" s="2"/>
      <c r="L2" s="2"/>
      <c r="M2" s="2"/>
    </row>
    <row r="3" spans="1:13" ht="5.25" customHeight="1" x14ac:dyDescent="0.25"/>
    <row r="4" spans="1:13" x14ac:dyDescent="0.25">
      <c r="A4" s="131"/>
      <c r="B4" s="132" t="s">
        <v>296</v>
      </c>
      <c r="C4" s="49"/>
      <c r="D4" s="131"/>
      <c r="E4" s="132" t="s">
        <v>297</v>
      </c>
      <c r="F4" s="49"/>
      <c r="G4" s="49"/>
      <c r="H4" s="132" t="s">
        <v>300</v>
      </c>
      <c r="I4" s="49"/>
      <c r="J4" s="49"/>
      <c r="K4" s="49"/>
      <c r="L4" s="49"/>
      <c r="M4" s="49"/>
    </row>
    <row r="5" spans="1:13" ht="5.25" customHeight="1" x14ac:dyDescent="0.25"/>
    <row r="6" spans="1:13" x14ac:dyDescent="0.25">
      <c r="B6" s="14" t="s">
        <v>228</v>
      </c>
      <c r="C6" s="116">
        <v>43908</v>
      </c>
      <c r="E6" s="27" t="s">
        <v>274</v>
      </c>
      <c r="I6" s="197" t="s">
        <v>301</v>
      </c>
      <c r="J6" s="194" t="s">
        <v>234</v>
      </c>
      <c r="K6" s="193" t="s">
        <v>302</v>
      </c>
      <c r="L6" s="194"/>
      <c r="M6" s="138"/>
    </row>
    <row r="7" spans="1:13" x14ac:dyDescent="0.25">
      <c r="E7" s="14" t="s">
        <v>275</v>
      </c>
      <c r="F7" s="21">
        <f>C46</f>
        <v>22410.465080400001</v>
      </c>
      <c r="I7" s="198"/>
      <c r="J7" s="196"/>
      <c r="K7" s="195"/>
      <c r="L7" s="196"/>
      <c r="M7" s="141" t="s">
        <v>303</v>
      </c>
    </row>
    <row r="8" spans="1:13" x14ac:dyDescent="0.25">
      <c r="B8" s="27" t="s">
        <v>229</v>
      </c>
      <c r="E8" s="14" t="s">
        <v>276</v>
      </c>
      <c r="F8" s="21">
        <f>C51</f>
        <v>4780</v>
      </c>
      <c r="I8" s="137" t="s">
        <v>72</v>
      </c>
      <c r="J8" s="136" t="s">
        <v>154</v>
      </c>
      <c r="K8" s="137" t="s">
        <v>304</v>
      </c>
      <c r="L8" s="142" t="s">
        <v>305</v>
      </c>
      <c r="M8" s="135"/>
    </row>
    <row r="9" spans="1:13" x14ac:dyDescent="0.25">
      <c r="B9" s="14" t="s">
        <v>230</v>
      </c>
      <c r="C9" s="74" t="s">
        <v>71</v>
      </c>
      <c r="E9" s="14" t="s">
        <v>277</v>
      </c>
      <c r="F9" s="21">
        <f>C47</f>
        <v>2490.0516755999997</v>
      </c>
    </row>
    <row r="10" spans="1:13" x14ac:dyDescent="0.25">
      <c r="B10" s="14" t="s">
        <v>1</v>
      </c>
      <c r="C10" s="74" t="s">
        <v>72</v>
      </c>
      <c r="E10" s="14" t="s">
        <v>278</v>
      </c>
      <c r="F10" s="21">
        <f>C24*C27</f>
        <v>6225.1291890000002</v>
      </c>
      <c r="H10" s="27" t="s">
        <v>42</v>
      </c>
    </row>
    <row r="11" spans="1:13" x14ac:dyDescent="0.25">
      <c r="B11" s="14" t="s">
        <v>231</v>
      </c>
      <c r="C11" s="181">
        <f>'XEROX FSM'!C8</f>
        <v>43830</v>
      </c>
      <c r="E11" s="14" t="s">
        <v>279</v>
      </c>
      <c r="F11" s="21">
        <f>C36+C59</f>
        <v>291.58055512700003</v>
      </c>
      <c r="H11" s="14" t="s">
        <v>64</v>
      </c>
      <c r="I11" s="21">
        <f>'XEROX FSM'!E52</f>
        <v>2740</v>
      </c>
      <c r="J11" s="21">
        <f>'HP FSM'!E52</f>
        <v>4537</v>
      </c>
      <c r="K11" s="21"/>
      <c r="L11" s="21">
        <f>-(F11+F9)</f>
        <v>-2781.6322307269998</v>
      </c>
      <c r="M11" s="21">
        <f>SUM(I11:L11)</f>
        <v>4495.3677692729998</v>
      </c>
    </row>
    <row r="12" spans="1:13" x14ac:dyDescent="0.25">
      <c r="B12" s="14" t="s">
        <v>232</v>
      </c>
      <c r="C12" s="74" t="s">
        <v>239</v>
      </c>
      <c r="E12" s="19" t="s">
        <v>280</v>
      </c>
      <c r="F12" s="53">
        <f>SUM(F7:F11)</f>
        <v>36197.226500127006</v>
      </c>
      <c r="H12" s="14" t="s">
        <v>43</v>
      </c>
      <c r="I12" s="21">
        <f>'XEROX FSM'!E53</f>
        <v>4587</v>
      </c>
      <c r="J12" s="21">
        <f>'HP FSM'!E53</f>
        <v>6031</v>
      </c>
      <c r="K12" s="21"/>
      <c r="L12" s="21"/>
      <c r="M12" s="21">
        <f t="shared" ref="M12:M18" si="0">SUM(I12:L12)</f>
        <v>10618</v>
      </c>
    </row>
    <row r="13" spans="1:13" x14ac:dyDescent="0.25">
      <c r="B13" s="14" t="s">
        <v>233</v>
      </c>
      <c r="C13" s="180">
        <f>'XEROX FSM'!C6</f>
        <v>16.45</v>
      </c>
      <c r="H13" s="14" t="s">
        <v>44</v>
      </c>
      <c r="I13" s="21">
        <f>'XEROX FSM'!E54</f>
        <v>694</v>
      </c>
      <c r="J13" s="21">
        <f>'HP FSM'!E54</f>
        <v>5734</v>
      </c>
      <c r="K13" s="21"/>
      <c r="L13" s="140"/>
      <c r="M13" s="21">
        <f t="shared" si="0"/>
        <v>6428</v>
      </c>
    </row>
    <row r="14" spans="1:13" x14ac:dyDescent="0.25">
      <c r="E14" s="27" t="s">
        <v>281</v>
      </c>
      <c r="H14" s="14" t="s">
        <v>66</v>
      </c>
      <c r="I14" s="21">
        <f>'XEROX FSM'!E55</f>
        <v>790</v>
      </c>
      <c r="J14" s="21">
        <f>'HP FSM'!E55</f>
        <v>2794</v>
      </c>
      <c r="K14" s="21">
        <f>F29</f>
        <v>558.80000000000007</v>
      </c>
      <c r="L14" s="21"/>
      <c r="M14" s="21">
        <f t="shared" si="0"/>
        <v>4142.8</v>
      </c>
    </row>
    <row r="15" spans="1:13" x14ac:dyDescent="0.25">
      <c r="B15" s="27" t="s">
        <v>234</v>
      </c>
      <c r="E15" s="14" t="s">
        <v>282</v>
      </c>
      <c r="F15" s="21">
        <f>C13*C30</f>
        <v>6225.1291890000002</v>
      </c>
      <c r="H15" s="14" t="s">
        <v>308</v>
      </c>
      <c r="I15" s="21">
        <v>0</v>
      </c>
      <c r="J15" s="21">
        <v>0</v>
      </c>
      <c r="K15" s="21">
        <f>F19+F37</f>
        <v>135.95232540200001</v>
      </c>
      <c r="L15" s="21"/>
      <c r="M15" s="21">
        <f t="shared" si="0"/>
        <v>135.95232540200001</v>
      </c>
    </row>
    <row r="16" spans="1:13" x14ac:dyDescent="0.25">
      <c r="B16" s="14" t="s">
        <v>230</v>
      </c>
      <c r="C16" s="74" t="s">
        <v>9</v>
      </c>
      <c r="E16" s="14" t="s">
        <v>283</v>
      </c>
      <c r="F16" s="21">
        <f>C24*C28</f>
        <v>24900.516756000001</v>
      </c>
      <c r="H16" s="14" t="s">
        <v>69</v>
      </c>
      <c r="I16" s="21">
        <f>'XEROX FSM'!E56</f>
        <v>4099</v>
      </c>
      <c r="J16" s="21">
        <f>'HP FSM'!E56</f>
        <v>6372</v>
      </c>
      <c r="K16" s="21">
        <f>F56</f>
        <v>38199.700230714283</v>
      </c>
      <c r="L16" s="21">
        <f>-(J16)</f>
        <v>-6372</v>
      </c>
      <c r="M16" s="21">
        <f t="shared" si="0"/>
        <v>42298.700230714283</v>
      </c>
    </row>
    <row r="17" spans="2:13" x14ac:dyDescent="0.25">
      <c r="B17" s="14" t="s">
        <v>1</v>
      </c>
      <c r="C17" s="74" t="s">
        <v>154</v>
      </c>
      <c r="E17" s="14" t="s">
        <v>284</v>
      </c>
      <c r="F17" s="21">
        <f>C51</f>
        <v>4780</v>
      </c>
      <c r="H17" s="14" t="s">
        <v>65</v>
      </c>
      <c r="I17" s="21">
        <f>'XEROX FSM'!E57</f>
        <v>598</v>
      </c>
      <c r="J17" s="21">
        <f>'HP FSM'!E57</f>
        <v>0</v>
      </c>
      <c r="K17" s="21"/>
      <c r="L17" s="21">
        <f>F37</f>
        <v>0</v>
      </c>
      <c r="M17" s="21">
        <f t="shared" si="0"/>
        <v>598</v>
      </c>
    </row>
    <row r="18" spans="2:13" x14ac:dyDescent="0.25">
      <c r="B18" s="14" t="s">
        <v>235</v>
      </c>
      <c r="C18" s="181">
        <f>'HP FSM'!C8</f>
        <v>43769</v>
      </c>
      <c r="E18" s="14" t="s">
        <v>285</v>
      </c>
      <c r="F18" s="21">
        <f>C36</f>
        <v>155.62822972500001</v>
      </c>
      <c r="H18" s="40" t="s">
        <v>68</v>
      </c>
      <c r="I18" s="21">
        <f>'XEROX FSM'!E58</f>
        <v>1539</v>
      </c>
      <c r="J18" s="21">
        <f>'HP FSM'!E58</f>
        <v>7999</v>
      </c>
      <c r="K18" s="21"/>
      <c r="L18" s="21"/>
      <c r="M18" s="21">
        <f t="shared" si="0"/>
        <v>9538</v>
      </c>
    </row>
    <row r="19" spans="2:13" ht="15.75" thickBot="1" x14ac:dyDescent="0.3">
      <c r="B19" s="14" t="s">
        <v>232</v>
      </c>
      <c r="C19" s="74" t="s">
        <v>239</v>
      </c>
      <c r="E19" s="14" t="s">
        <v>269</v>
      </c>
      <c r="F19" s="21">
        <f>C59</f>
        <v>135.95232540200001</v>
      </c>
      <c r="H19" s="23" t="s">
        <v>45</v>
      </c>
      <c r="I19" s="139">
        <f>SUM(I11:I18)</f>
        <v>15047</v>
      </c>
      <c r="J19" s="139">
        <f>SUM(J11:J18)</f>
        <v>33467</v>
      </c>
      <c r="K19" s="139"/>
      <c r="L19" s="139"/>
      <c r="M19" s="139">
        <f>SUM(M11:M18)</f>
        <v>78254.820325389272</v>
      </c>
    </row>
    <row r="20" spans="2:13" ht="16.5" thickTop="1" x14ac:dyDescent="0.25">
      <c r="B20" s="14" t="s">
        <v>233</v>
      </c>
      <c r="C20" s="180">
        <f>'HP FSM'!C6</f>
        <v>13.95</v>
      </c>
      <c r="E20" s="19" t="s">
        <v>286</v>
      </c>
      <c r="F20" s="53">
        <f>SUM(F15:F19)</f>
        <v>36197.226500126999</v>
      </c>
      <c r="H20" s="33"/>
      <c r="I20" s="21"/>
      <c r="J20" s="21"/>
      <c r="K20" s="21"/>
      <c r="L20" s="21"/>
      <c r="M20" s="21"/>
    </row>
    <row r="21" spans="2:13" x14ac:dyDescent="0.25">
      <c r="B21" s="14" t="s">
        <v>236</v>
      </c>
      <c r="C21" s="117">
        <v>0.72030000000000005</v>
      </c>
      <c r="E21" s="42" t="s">
        <v>299</v>
      </c>
      <c r="F21" s="133" t="str">
        <f>IF(F20=F12,"Yes","NO")</f>
        <v>Yes</v>
      </c>
      <c r="H21" s="27" t="s">
        <v>46</v>
      </c>
      <c r="I21" s="21"/>
      <c r="J21" s="21"/>
      <c r="K21" s="21"/>
      <c r="L21" s="21"/>
      <c r="M21" s="21"/>
    </row>
    <row r="22" spans="2:13" x14ac:dyDescent="0.25">
      <c r="B22" s="14" t="s">
        <v>237</v>
      </c>
      <c r="C22" s="118">
        <f>C20*(1+C21)</f>
        <v>23.998184999999999</v>
      </c>
      <c r="H22" s="41" t="s">
        <v>47</v>
      </c>
      <c r="I22" s="21">
        <f>'XEROX FSM'!E62</f>
        <v>1053</v>
      </c>
      <c r="J22" s="21">
        <f>'HP FSM'!E62</f>
        <v>15150</v>
      </c>
      <c r="K22" s="21"/>
      <c r="L22" s="21"/>
      <c r="M22" s="21">
        <f>SUM(I22:L22)</f>
        <v>16203</v>
      </c>
    </row>
    <row r="23" spans="2:13" x14ac:dyDescent="0.25">
      <c r="B23" s="14" t="s">
        <v>28</v>
      </c>
      <c r="C23" s="119">
        <v>1297</v>
      </c>
      <c r="D23" s="183"/>
      <c r="E23" s="132" t="s">
        <v>298</v>
      </c>
      <c r="F23" s="49"/>
      <c r="H23" s="41" t="s">
        <v>48</v>
      </c>
      <c r="I23" s="21">
        <f>'XEROX FSM'!E63</f>
        <v>0</v>
      </c>
      <c r="J23" s="21">
        <f>'HP FSM'!E63</f>
        <v>0</v>
      </c>
      <c r="K23" s="21"/>
      <c r="L23" s="21">
        <f>IF(C50="Refinanced",-J23,0)</f>
        <v>0</v>
      </c>
      <c r="M23" s="21">
        <f t="shared" ref="M23" si="1">SUM(I23:L23)</f>
        <v>0</v>
      </c>
    </row>
    <row r="24" spans="2:13" x14ac:dyDescent="0.25">
      <c r="B24" s="14" t="s">
        <v>238</v>
      </c>
      <c r="C24" s="120">
        <f>C22*C23</f>
        <v>31125.645945</v>
      </c>
      <c r="H24" s="14" t="s">
        <v>319</v>
      </c>
      <c r="I24" s="21">
        <v>0</v>
      </c>
      <c r="J24" s="21">
        <v>0</v>
      </c>
      <c r="K24" s="21">
        <f>F51</f>
        <v>67.854285714285723</v>
      </c>
      <c r="L24" s="21"/>
      <c r="M24" s="21">
        <f>SUM(I24:K24)</f>
        <v>67.854285714285723</v>
      </c>
    </row>
    <row r="25" spans="2:13" x14ac:dyDescent="0.25">
      <c r="E25" s="27" t="s">
        <v>287</v>
      </c>
      <c r="H25" s="41" t="s">
        <v>49</v>
      </c>
      <c r="I25" s="21">
        <f>'XEROX FSM'!E64</f>
        <v>4282</v>
      </c>
      <c r="J25" s="21">
        <f>'HP FSM'!E64</f>
        <v>4780</v>
      </c>
      <c r="K25" s="21">
        <f>F7+F8</f>
        <v>27190.465080400001</v>
      </c>
      <c r="L25" s="21">
        <f>-J25</f>
        <v>-4780</v>
      </c>
      <c r="M25" s="21">
        <f>SUM(I25:L25)</f>
        <v>31472.465080399998</v>
      </c>
    </row>
    <row r="26" spans="2:13" x14ac:dyDescent="0.25">
      <c r="B26" s="27" t="s">
        <v>240</v>
      </c>
      <c r="E26" s="134" t="s">
        <v>288</v>
      </c>
      <c r="H26" s="41" t="s">
        <v>50</v>
      </c>
      <c r="I26" s="21">
        <f>'XEROX FSM'!E65</f>
        <v>3904</v>
      </c>
      <c r="J26" s="21">
        <f>'HP FSM'!E65</f>
        <v>14730</v>
      </c>
      <c r="K26" s="21"/>
      <c r="L26" s="21"/>
      <c r="M26" s="21">
        <f>SUM(I26:L26)</f>
        <v>18634</v>
      </c>
    </row>
    <row r="27" spans="2:13" ht="15.75" thickBot="1" x14ac:dyDescent="0.3">
      <c r="B27" s="14" t="s">
        <v>242</v>
      </c>
      <c r="C27" s="123">
        <v>0.2</v>
      </c>
      <c r="E27" s="14" t="s">
        <v>289</v>
      </c>
      <c r="F27" s="21">
        <f>J14</f>
        <v>2794</v>
      </c>
      <c r="H27" s="23" t="s">
        <v>51</v>
      </c>
      <c r="I27" s="139">
        <f>SUM(I22:I26)</f>
        <v>9239</v>
      </c>
      <c r="J27" s="139">
        <f>SUM(J22:J26)</f>
        <v>34660</v>
      </c>
      <c r="K27" s="139"/>
      <c r="L27" s="139"/>
      <c r="M27" s="139">
        <f>SUM(M22:M26)</f>
        <v>66377.319366114287</v>
      </c>
    </row>
    <row r="28" spans="2:13" ht="15.75" thickTop="1" x14ac:dyDescent="0.25">
      <c r="B28" s="14" t="s">
        <v>243</v>
      </c>
      <c r="C28" s="124">
        <f>1-C27</f>
        <v>0.8</v>
      </c>
      <c r="E28" s="14" t="s">
        <v>295</v>
      </c>
      <c r="F28" s="28">
        <v>0.2</v>
      </c>
      <c r="H28" s="41"/>
      <c r="I28" s="21"/>
      <c r="J28" s="21"/>
      <c r="K28" s="21"/>
      <c r="L28" s="21"/>
      <c r="M28" s="21"/>
    </row>
    <row r="29" spans="2:13" x14ac:dyDescent="0.25">
      <c r="B29" s="14" t="s">
        <v>241</v>
      </c>
      <c r="C29" s="74" t="s">
        <v>247</v>
      </c>
      <c r="E29" s="14" t="s">
        <v>290</v>
      </c>
      <c r="F29" s="21">
        <f>F28*F27</f>
        <v>558.80000000000007</v>
      </c>
      <c r="H29" s="27" t="s">
        <v>52</v>
      </c>
      <c r="I29" s="21"/>
      <c r="J29" s="21"/>
      <c r="K29" s="21"/>
      <c r="L29" s="21"/>
      <c r="M29" s="21"/>
    </row>
    <row r="30" spans="2:13" x14ac:dyDescent="0.25">
      <c r="B30" s="14" t="s">
        <v>244</v>
      </c>
      <c r="C30" s="120">
        <f>C27*C24/C13</f>
        <v>378.42730632218849</v>
      </c>
      <c r="E30" s="14" t="s">
        <v>291</v>
      </c>
      <c r="F30" s="143">
        <v>20</v>
      </c>
      <c r="H30" s="41" t="s">
        <v>53</v>
      </c>
      <c r="I30" s="21">
        <f>'XEROX FSM'!E69</f>
        <v>3218</v>
      </c>
      <c r="J30" s="21">
        <f>'HP FSM'!E69</f>
        <v>850</v>
      </c>
      <c r="K30" s="21"/>
      <c r="L30" s="21"/>
      <c r="M30" s="21">
        <f>SUM(I30:L30)</f>
        <v>4068</v>
      </c>
    </row>
    <row r="31" spans="2:13" x14ac:dyDescent="0.25">
      <c r="B31" s="14" t="s">
        <v>245</v>
      </c>
      <c r="C31" s="125">
        <f>C22/C13</f>
        <v>1.4588562310030395</v>
      </c>
      <c r="E31" s="14" t="s">
        <v>292</v>
      </c>
      <c r="F31" s="21">
        <f>F29/F30</f>
        <v>27.940000000000005</v>
      </c>
      <c r="H31" s="41" t="s">
        <v>54</v>
      </c>
      <c r="I31" s="21">
        <f>'XEROX FSM'!E70</f>
        <v>-76</v>
      </c>
      <c r="J31" s="21">
        <f>'HP FSM'!E70</f>
        <v>0</v>
      </c>
      <c r="K31" s="21"/>
      <c r="L31" s="21"/>
      <c r="M31" s="21">
        <f t="shared" ref="M31:M33" si="2">SUM(I31:L31)</f>
        <v>-76</v>
      </c>
    </row>
    <row r="32" spans="2:13" x14ac:dyDescent="0.25">
      <c r="B32" s="14" t="s">
        <v>246</v>
      </c>
      <c r="C32" s="125">
        <f>C27*C22/C13</f>
        <v>0.29177124620060796</v>
      </c>
      <c r="E32" s="14" t="s">
        <v>293</v>
      </c>
      <c r="F32" s="21">
        <f>IF(C29="Stock sale",F29*C40,0)</f>
        <v>67.854285714285723</v>
      </c>
      <c r="H32" s="41" t="s">
        <v>70</v>
      </c>
      <c r="I32" s="21">
        <f>'XEROX FSM'!E71</f>
        <v>6312</v>
      </c>
      <c r="J32" s="21">
        <f>'HP FSM'!E71</f>
        <v>-818</v>
      </c>
      <c r="K32" s="21"/>
      <c r="L32" s="21"/>
      <c r="M32" s="21">
        <f t="shared" si="2"/>
        <v>5494</v>
      </c>
    </row>
    <row r="33" spans="2:13" x14ac:dyDescent="0.25">
      <c r="C33" s="122"/>
      <c r="H33" s="41" t="s">
        <v>55</v>
      </c>
      <c r="I33" s="21">
        <f>'XEROX FSM'!E72</f>
        <v>-3646</v>
      </c>
      <c r="J33" s="21">
        <f>'HP FSM'!E72</f>
        <v>-1225</v>
      </c>
      <c r="K33" s="21"/>
      <c r="L33" s="21"/>
      <c r="M33" s="21">
        <f t="shared" si="2"/>
        <v>-4871</v>
      </c>
    </row>
    <row r="34" spans="2:13" ht="15.75" thickBot="1" x14ac:dyDescent="0.3">
      <c r="B34" s="27" t="s">
        <v>248</v>
      </c>
      <c r="E34" s="134" t="s">
        <v>308</v>
      </c>
      <c r="H34" s="23" t="s">
        <v>56</v>
      </c>
      <c r="I34" s="139">
        <f>SUM(I30:I33)</f>
        <v>5808</v>
      </c>
      <c r="J34" s="139">
        <f>SUM(J30:J33)</f>
        <v>-1193</v>
      </c>
      <c r="K34" s="139">
        <f>F10</f>
        <v>6225.1291890000002</v>
      </c>
      <c r="L34" s="139">
        <f>-J34-F18</f>
        <v>1037.371770275</v>
      </c>
      <c r="M34" s="139">
        <f>SUM(K34:L34,M30:M33)</f>
        <v>11877.500959274999</v>
      </c>
    </row>
    <row r="35" spans="2:13" ht="15.75" thickTop="1" x14ac:dyDescent="0.25">
      <c r="B35" s="14" t="s">
        <v>249</v>
      </c>
      <c r="C35" s="31">
        <v>5.0000000000000001E-3</v>
      </c>
      <c r="E35" s="14" t="s">
        <v>294</v>
      </c>
      <c r="F35" s="21">
        <v>0</v>
      </c>
      <c r="H35" s="41"/>
      <c r="I35" s="121"/>
      <c r="J35" s="121"/>
      <c r="K35" s="121"/>
      <c r="L35" s="121"/>
      <c r="M35" s="121"/>
    </row>
    <row r="36" spans="2:13" x14ac:dyDescent="0.25">
      <c r="B36" s="14" t="s">
        <v>250</v>
      </c>
      <c r="C36" s="18">
        <f>C35*C24</f>
        <v>155.62822972500001</v>
      </c>
      <c r="E36" s="14" t="s">
        <v>295</v>
      </c>
      <c r="F36" s="28">
        <v>1.5</v>
      </c>
      <c r="H36" s="42" t="s">
        <v>57</v>
      </c>
      <c r="I36" s="38" t="str">
        <f>IF(ROUND(I19-SUM(I34,I27),3)=0,"YES","NO")</f>
        <v>YES</v>
      </c>
      <c r="J36" s="38" t="str">
        <f>IF(ROUND(J19-SUM(J34,J27),3)=0,"YES","NO")</f>
        <v>YES</v>
      </c>
      <c r="M36" s="38" t="str">
        <f>IF(ROUND(M19-SUM(M34,M27),3)=0,"YES","NO")</f>
        <v>YES</v>
      </c>
    </row>
    <row r="37" spans="2:13" x14ac:dyDescent="0.25">
      <c r="B37" s="14" t="s">
        <v>251</v>
      </c>
      <c r="C37" s="22">
        <v>1500</v>
      </c>
      <c r="E37" s="14" t="s">
        <v>290</v>
      </c>
      <c r="F37" s="21">
        <f>F35*F36</f>
        <v>0</v>
      </c>
    </row>
    <row r="38" spans="2:13" x14ac:dyDescent="0.25">
      <c r="B38" s="14" t="s">
        <v>252</v>
      </c>
      <c r="C38" s="89">
        <f>'XEROX FSM'!E47</f>
        <v>1302</v>
      </c>
      <c r="E38" s="14" t="s">
        <v>291</v>
      </c>
      <c r="F38" s="143">
        <v>20</v>
      </c>
      <c r="H38" s="27" t="s">
        <v>320</v>
      </c>
      <c r="I38" s="100" t="s">
        <v>72</v>
      </c>
      <c r="J38" s="100" t="s">
        <v>154</v>
      </c>
      <c r="M38" s="100" t="s">
        <v>303</v>
      </c>
    </row>
    <row r="39" spans="2:13" x14ac:dyDescent="0.25">
      <c r="B39" s="14" t="s">
        <v>253</v>
      </c>
      <c r="C39" s="89">
        <f>'HP FSM'!E47</f>
        <v>4871</v>
      </c>
      <c r="E39" s="14" t="s">
        <v>343</v>
      </c>
      <c r="F39" s="21">
        <f>F37/F38</f>
        <v>0</v>
      </c>
      <c r="H39" s="14" t="s">
        <v>321</v>
      </c>
      <c r="I39" s="21">
        <f>SUM(I23,I25)</f>
        <v>4282</v>
      </c>
      <c r="J39" s="21">
        <f>SUM(J23,J25)</f>
        <v>4780</v>
      </c>
      <c r="M39" s="21">
        <f>SUM(M23,M25)</f>
        <v>31472.465080399998</v>
      </c>
    </row>
    <row r="40" spans="2:13" x14ac:dyDescent="0.25">
      <c r="B40" s="14" t="s">
        <v>254</v>
      </c>
      <c r="C40" s="126">
        <f>'XEROX FSM'!E42</f>
        <v>0.12142857142857143</v>
      </c>
      <c r="E40" s="14" t="s">
        <v>293</v>
      </c>
      <c r="F40" s="21">
        <f>IF(C29="Stock sale",F37*C40,0)</f>
        <v>0</v>
      </c>
      <c r="H40" s="14" t="s">
        <v>322</v>
      </c>
      <c r="I40" s="21">
        <v>0</v>
      </c>
      <c r="J40" s="21">
        <v>0</v>
      </c>
      <c r="M40" s="21">
        <v>0</v>
      </c>
    </row>
    <row r="41" spans="2:13" x14ac:dyDescent="0.25">
      <c r="B41" s="14" t="s">
        <v>255</v>
      </c>
      <c r="C41" s="126">
        <f>'HP FSM'!C42</f>
        <v>0.22893772893772893</v>
      </c>
      <c r="H41" s="14" t="s">
        <v>323</v>
      </c>
      <c r="I41" s="21">
        <v>0</v>
      </c>
      <c r="J41" s="21">
        <v>0</v>
      </c>
      <c r="M41" s="21">
        <v>0</v>
      </c>
    </row>
    <row r="42" spans="2:13" x14ac:dyDescent="0.25">
      <c r="E42" s="27" t="s">
        <v>306</v>
      </c>
      <c r="H42" s="14" t="s">
        <v>324</v>
      </c>
      <c r="I42" s="21">
        <f>-(I11)</f>
        <v>-2740</v>
      </c>
      <c r="J42" s="21">
        <f>-(J11)</f>
        <v>-4537</v>
      </c>
      <c r="M42" s="21">
        <f>-(M11)</f>
        <v>-4495.3677692729998</v>
      </c>
    </row>
    <row r="43" spans="2:13" ht="15" customHeight="1" x14ac:dyDescent="0.25">
      <c r="B43" s="27" t="s">
        <v>256</v>
      </c>
      <c r="E43" s="134" t="s">
        <v>307</v>
      </c>
      <c r="F43" s="145">
        <f>J19</f>
        <v>33467</v>
      </c>
      <c r="H43" s="19" t="s">
        <v>59</v>
      </c>
      <c r="I43" s="53">
        <f>SUM(I39:I42)</f>
        <v>1542</v>
      </c>
      <c r="J43" s="53">
        <f>SUM(J39:J42)</f>
        <v>243</v>
      </c>
      <c r="K43" s="75"/>
      <c r="L43" s="75"/>
      <c r="M43" s="53">
        <f>SUM(M39:M42)</f>
        <v>26977.097311127</v>
      </c>
    </row>
    <row r="44" spans="2:13" x14ac:dyDescent="0.25">
      <c r="B44" s="14" t="s">
        <v>257</v>
      </c>
      <c r="C44" s="117">
        <v>0.9</v>
      </c>
      <c r="E44" s="14" t="s">
        <v>309</v>
      </c>
      <c r="F44" s="21">
        <f>F29</f>
        <v>558.80000000000007</v>
      </c>
    </row>
    <row r="45" spans="2:13" x14ac:dyDescent="0.25">
      <c r="B45" s="14" t="s">
        <v>258</v>
      </c>
      <c r="C45" s="127">
        <f>1-C44</f>
        <v>9.9999999999999978E-2</v>
      </c>
      <c r="E45" s="14" t="s">
        <v>310</v>
      </c>
      <c r="F45" s="21">
        <f>F37</f>
        <v>0</v>
      </c>
      <c r="H45" s="14" t="s">
        <v>325</v>
      </c>
      <c r="I45" s="21">
        <f>C13*'XEROX FSM'!F32</f>
        <v>3435.4790803869564</v>
      </c>
      <c r="J45" s="21">
        <f>C20*C23</f>
        <v>18093.149999999998</v>
      </c>
      <c r="M45" s="21">
        <f>C13*(C30+C23)</f>
        <v>27560.779189000001</v>
      </c>
    </row>
    <row r="46" spans="2:13" x14ac:dyDescent="0.25">
      <c r="B46" s="14" t="s">
        <v>259</v>
      </c>
      <c r="C46" s="120">
        <f>C44*C28*C24</f>
        <v>22410.465080400001</v>
      </c>
      <c r="E46" s="14" t="s">
        <v>311</v>
      </c>
      <c r="F46" s="21">
        <f>-(J16)</f>
        <v>-6372</v>
      </c>
      <c r="H46" s="14" t="s">
        <v>198</v>
      </c>
      <c r="I46" s="21">
        <f>I45+I43</f>
        <v>4977.4790803869564</v>
      </c>
      <c r="J46" s="21">
        <f>J45+J43</f>
        <v>18336.149999999998</v>
      </c>
      <c r="M46" s="21">
        <f>M45+M43</f>
        <v>54537.876500127</v>
      </c>
    </row>
    <row r="47" spans="2:13" x14ac:dyDescent="0.25">
      <c r="B47" s="14" t="s">
        <v>260</v>
      </c>
      <c r="C47" s="120">
        <f>C45*C28*C24</f>
        <v>2490.0516755999997</v>
      </c>
      <c r="E47" s="14" t="s">
        <v>312</v>
      </c>
      <c r="F47" s="21">
        <f>-(J17)</f>
        <v>0</v>
      </c>
      <c r="H47" s="14" t="s">
        <v>326</v>
      </c>
      <c r="I47" s="21">
        <f>C38</f>
        <v>1302</v>
      </c>
      <c r="J47" s="21">
        <f>C39</f>
        <v>4871</v>
      </c>
      <c r="M47" s="21">
        <f>I47+J47</f>
        <v>6173</v>
      </c>
    </row>
    <row r="48" spans="2:13" x14ac:dyDescent="0.25">
      <c r="B48" s="14" t="s">
        <v>261</v>
      </c>
      <c r="C48" s="128">
        <f>C47/C54</f>
        <v>0.90877798379562036</v>
      </c>
      <c r="E48" s="19" t="s">
        <v>313</v>
      </c>
      <c r="F48" s="53">
        <f>SUM(F43:F47)</f>
        <v>27653.800000000003</v>
      </c>
      <c r="H48" s="14" t="s">
        <v>327</v>
      </c>
      <c r="I48" s="149">
        <f>SUM(I39:I41)/I47</f>
        <v>3.2887864823348694</v>
      </c>
      <c r="J48" s="149">
        <f>SUM(J39:J41)/J47</f>
        <v>0.9813180045165264</v>
      </c>
      <c r="M48" s="149">
        <f>SUM(M39:M41)/M47</f>
        <v>5.0984067844484038</v>
      </c>
    </row>
    <row r="49" spans="2:13" x14ac:dyDescent="0.25">
      <c r="C49" s="74"/>
      <c r="H49" s="14" t="s">
        <v>328</v>
      </c>
      <c r="I49" s="149">
        <f>I46/I47</f>
        <v>3.822948602447739</v>
      </c>
      <c r="J49" s="149">
        <f>J46/J47</f>
        <v>3.7643502360911514</v>
      </c>
      <c r="M49" s="149">
        <f>M46/M47</f>
        <v>8.8349062854571514</v>
      </c>
    </row>
    <row r="50" spans="2:13" x14ac:dyDescent="0.25">
      <c r="B50" s="14" t="s">
        <v>262</v>
      </c>
      <c r="C50" s="74" t="s">
        <v>273</v>
      </c>
      <c r="E50" s="134" t="s">
        <v>314</v>
      </c>
      <c r="F50" s="146">
        <f>J27</f>
        <v>34660</v>
      </c>
      <c r="H50" s="14" t="s">
        <v>329</v>
      </c>
      <c r="I50" s="28">
        <f>SUM(I39:I41)/I45</f>
        <v>1.246405493907911</v>
      </c>
      <c r="J50" s="28">
        <f>SUM(J39:J41)/J45</f>
        <v>0.2641883806855081</v>
      </c>
      <c r="M50" s="28">
        <f>SUM(M39:M41)/M45</f>
        <v>1.1419294376467128</v>
      </c>
    </row>
    <row r="51" spans="2:13" x14ac:dyDescent="0.25">
      <c r="B51" s="14" t="s">
        <v>263</v>
      </c>
      <c r="C51" s="120">
        <f>IF(C50="Assumed",0,C55)</f>
        <v>4780</v>
      </c>
      <c r="E51" s="14" t="s">
        <v>315</v>
      </c>
      <c r="F51" s="21">
        <f>F40+F32</f>
        <v>67.854285714285723</v>
      </c>
    </row>
    <row r="52" spans="2:13" x14ac:dyDescent="0.25">
      <c r="B52" s="14" t="s">
        <v>264</v>
      </c>
      <c r="C52" s="120">
        <f>C44*C28*C24+C51</f>
        <v>27190.465080400001</v>
      </c>
      <c r="E52" s="19" t="s">
        <v>316</v>
      </c>
      <c r="F52" s="53">
        <f>SUM(F50:F51)</f>
        <v>34727.854285714289</v>
      </c>
      <c r="H52" s="132" t="s">
        <v>330</v>
      </c>
      <c r="I52" s="49"/>
      <c r="J52" s="49"/>
      <c r="K52" s="49"/>
      <c r="L52" s="49"/>
      <c r="M52" s="49"/>
    </row>
    <row r="53" spans="2:13" x14ac:dyDescent="0.25">
      <c r="C53" s="74"/>
    </row>
    <row r="54" spans="2:13" x14ac:dyDescent="0.25">
      <c r="B54" s="14" t="s">
        <v>265</v>
      </c>
      <c r="C54" s="129">
        <f>'XEROX FSM'!E52</f>
        <v>2740</v>
      </c>
      <c r="E54" s="14" t="s">
        <v>317</v>
      </c>
      <c r="F54" s="21">
        <f>F48-F52</f>
        <v>-7074.0542857142864</v>
      </c>
      <c r="H54" s="27" t="s">
        <v>301</v>
      </c>
      <c r="K54" s="154">
        <v>2019</v>
      </c>
      <c r="L54" s="154">
        <v>2020</v>
      </c>
      <c r="M54" s="154">
        <v>2021</v>
      </c>
    </row>
    <row r="55" spans="2:13" x14ac:dyDescent="0.25">
      <c r="B55" s="14" t="s">
        <v>266</v>
      </c>
      <c r="C55" s="129">
        <f>'HP FSM'!E64</f>
        <v>4780</v>
      </c>
      <c r="E55" s="14" t="s">
        <v>238</v>
      </c>
      <c r="F55" s="21">
        <f>C24</f>
        <v>31125.645945</v>
      </c>
      <c r="H55" s="14" t="s">
        <v>118</v>
      </c>
      <c r="K55" s="21">
        <f>'XEROX FSM'!E28</f>
        <v>1353</v>
      </c>
      <c r="L55" s="21">
        <f ca="1">'XEROX FSM'!F28</f>
        <v>1277.7912343589746</v>
      </c>
      <c r="M55" s="21">
        <f ca="1">'XEROX FSM'!G28</f>
        <v>1074.2910395034712</v>
      </c>
    </row>
    <row r="56" spans="2:13" x14ac:dyDescent="0.25">
      <c r="C56" s="74"/>
      <c r="E56" s="19" t="s">
        <v>318</v>
      </c>
      <c r="F56" s="53">
        <f>F55-F54</f>
        <v>38199.700230714283</v>
      </c>
      <c r="H56" s="14" t="s">
        <v>331</v>
      </c>
      <c r="K56" s="155">
        <f>'XEROX FSM'!E35</f>
        <v>5.8</v>
      </c>
      <c r="L56" s="155">
        <f ca="1">'XEROX FSM'!F35</f>
        <v>6.1184089069864385</v>
      </c>
      <c r="M56" s="155">
        <f ca="1">'XEROX FSM'!G35</f>
        <v>5.5026604476732945</v>
      </c>
    </row>
    <row r="57" spans="2:13" x14ac:dyDescent="0.25">
      <c r="B57" s="14" t="s">
        <v>267</v>
      </c>
      <c r="C57" s="130">
        <v>5</v>
      </c>
      <c r="H57" s="14" t="s">
        <v>332</v>
      </c>
      <c r="K57" s="21">
        <f>'XEROX FSM'!E32</f>
        <v>233.16900000000001</v>
      </c>
      <c r="L57" s="21">
        <f>'XEROX FSM'!F32</f>
        <v>208.843713093432</v>
      </c>
      <c r="M57" s="21">
        <f>'XEROX FSM'!G32</f>
        <v>195.23120674431524</v>
      </c>
    </row>
    <row r="58" spans="2:13" x14ac:dyDescent="0.25">
      <c r="B58" s="14" t="s">
        <v>268</v>
      </c>
      <c r="C58" s="123">
        <v>5.0000000000000001E-3</v>
      </c>
    </row>
    <row r="59" spans="2:13" x14ac:dyDescent="0.25">
      <c r="B59" s="14" t="s">
        <v>269</v>
      </c>
      <c r="C59" s="120">
        <f>C58*C52</f>
        <v>135.95232540200001</v>
      </c>
      <c r="H59" s="27" t="s">
        <v>234</v>
      </c>
    </row>
    <row r="60" spans="2:13" x14ac:dyDescent="0.25">
      <c r="B60" s="14" t="s">
        <v>270</v>
      </c>
      <c r="C60" s="120">
        <f>C59/C57</f>
        <v>27.190465080400003</v>
      </c>
      <c r="H60" s="14" t="s">
        <v>118</v>
      </c>
      <c r="K60" s="21">
        <f>'HP FSM'!E28</f>
        <v>3152</v>
      </c>
      <c r="L60" s="21">
        <f ca="1">'HP FSM'!F28</f>
        <v>2794.2274124996993</v>
      </c>
      <c r="M60" s="21">
        <f ca="1">'HP FSM'!G28</f>
        <v>3024.6564538739403</v>
      </c>
    </row>
    <row r="61" spans="2:13" x14ac:dyDescent="0.25">
      <c r="C61" s="74"/>
      <c r="H61" s="14" t="s">
        <v>331</v>
      </c>
      <c r="K61" s="155">
        <f>'HP FSM'!E35</f>
        <v>2.068241469816273</v>
      </c>
      <c r="L61" s="155">
        <f ca="1">'HP FSM'!F35</f>
        <v>1.9647217552050273</v>
      </c>
      <c r="M61" s="155">
        <f ca="1">'HP FSM'!G35</f>
        <v>2.2431469171046179</v>
      </c>
    </row>
    <row r="62" spans="2:13" x14ac:dyDescent="0.25">
      <c r="B62" s="14" t="s">
        <v>271</v>
      </c>
      <c r="C62" s="123">
        <v>4.4999999999999998E-2</v>
      </c>
      <c r="H62" s="14" t="s">
        <v>332</v>
      </c>
      <c r="K62" s="21">
        <f>'HP FSM'!E32</f>
        <v>1524</v>
      </c>
      <c r="L62" s="21">
        <f>'HP FSM'!F32</f>
        <v>1422.2000673108591</v>
      </c>
      <c r="M62" s="21">
        <f>'HP FSM'!G32</f>
        <v>1348.3987298424795</v>
      </c>
    </row>
    <row r="63" spans="2:13" x14ac:dyDescent="0.25">
      <c r="B63" s="14" t="s">
        <v>272</v>
      </c>
      <c r="C63" s="123">
        <v>0.01</v>
      </c>
    </row>
    <row r="64" spans="2:13" x14ac:dyDescent="0.25">
      <c r="H64" s="27" t="s">
        <v>333</v>
      </c>
    </row>
    <row r="65" spans="8:13" x14ac:dyDescent="0.25">
      <c r="H65" s="151" t="s">
        <v>334</v>
      </c>
      <c r="K65" s="21">
        <f>-($C$62*SUM($K$25,$K$23,$L$23,$L$25))</f>
        <v>-1008.470928618</v>
      </c>
      <c r="L65" s="21">
        <f t="shared" ref="L65:M65" si="3">-($C$62*SUM($K$25,$K$23,$L$23,$L$25))</f>
        <v>-1008.470928618</v>
      </c>
      <c r="M65" s="21">
        <f t="shared" si="3"/>
        <v>-1008.470928618</v>
      </c>
    </row>
    <row r="66" spans="8:13" x14ac:dyDescent="0.25">
      <c r="H66" s="151" t="s">
        <v>335</v>
      </c>
      <c r="K66" s="21">
        <f>$L$11*$C$63</f>
        <v>-27.816322307269999</v>
      </c>
      <c r="L66" s="21">
        <f t="shared" ref="L66:M66" si="4">$L$11*$C$63</f>
        <v>-27.816322307269999</v>
      </c>
      <c r="M66" s="21">
        <f t="shared" si="4"/>
        <v>-27.816322307269999</v>
      </c>
    </row>
    <row r="67" spans="8:13" x14ac:dyDescent="0.25">
      <c r="H67" s="151" t="s">
        <v>336</v>
      </c>
      <c r="K67" s="21">
        <f>$C$37</f>
        <v>1500</v>
      </c>
      <c r="L67" s="21">
        <f t="shared" ref="L67:M67" si="5">$C$37</f>
        <v>1500</v>
      </c>
      <c r="M67" s="21">
        <f t="shared" si="5"/>
        <v>1500</v>
      </c>
    </row>
    <row r="68" spans="8:13" x14ac:dyDescent="0.25">
      <c r="H68" s="152" t="s">
        <v>337</v>
      </c>
      <c r="K68" s="21">
        <f>-($F$31+$F$39)</f>
        <v>-27.940000000000005</v>
      </c>
      <c r="L68" s="21">
        <f t="shared" ref="L68:M68" si="6">-($F$31+$F$39)</f>
        <v>-27.940000000000005</v>
      </c>
      <c r="M68" s="21">
        <f t="shared" si="6"/>
        <v>-27.940000000000005</v>
      </c>
    </row>
    <row r="69" spans="8:13" x14ac:dyDescent="0.25">
      <c r="H69" s="152" t="s">
        <v>338</v>
      </c>
      <c r="K69" s="21">
        <f>-($C$60)</f>
        <v>-27.190465080400003</v>
      </c>
      <c r="L69" s="21">
        <f>-($C$60)</f>
        <v>-27.190465080400003</v>
      </c>
      <c r="M69" s="21">
        <f>-($C$60)</f>
        <v>-27.190465080400003</v>
      </c>
    </row>
    <row r="70" spans="8:13" x14ac:dyDescent="0.25">
      <c r="H70" s="151" t="s">
        <v>339</v>
      </c>
      <c r="K70" s="21">
        <f>SUM(K65:K69)*$C$40</f>
        <v>49.61356305645436</v>
      </c>
      <c r="L70" s="21">
        <f t="shared" ref="L70:M70" si="7">SUM(L65:L69)*$C$40</f>
        <v>49.61356305645436</v>
      </c>
      <c r="M70" s="21">
        <f t="shared" si="7"/>
        <v>49.61356305645436</v>
      </c>
    </row>
    <row r="71" spans="8:13" x14ac:dyDescent="0.25">
      <c r="H71" s="153" t="s">
        <v>340</v>
      </c>
      <c r="K71" s="21">
        <f>SUM(K65:K70)</f>
        <v>458.19584705078444</v>
      </c>
      <c r="L71" s="21">
        <f t="shared" ref="L71:M71" si="8">SUM(L65:L70)</f>
        <v>458.19584705078444</v>
      </c>
      <c r="M71" s="21">
        <f t="shared" si="8"/>
        <v>458.19584705078444</v>
      </c>
    </row>
    <row r="73" spans="8:13" x14ac:dyDescent="0.25">
      <c r="H73" s="14" t="s">
        <v>350</v>
      </c>
      <c r="K73" s="21">
        <f>K71+K60+K55</f>
        <v>4963.1958470507843</v>
      </c>
      <c r="L73" s="21">
        <f t="shared" ref="L73:M73" ca="1" si="9">L71+L60+L55</f>
        <v>4530.2144939094578</v>
      </c>
      <c r="M73" s="21">
        <f t="shared" ca="1" si="9"/>
        <v>4557.1433404281961</v>
      </c>
    </row>
    <row r="74" spans="8:13" x14ac:dyDescent="0.25">
      <c r="H74" s="14" t="s">
        <v>342</v>
      </c>
      <c r="K74" s="21">
        <f>K57+$C$30</f>
        <v>611.59630632218852</v>
      </c>
      <c r="L74" s="21">
        <f t="shared" ref="L74:M74" si="10">L57+$C$30</f>
        <v>587.27101941562046</v>
      </c>
      <c r="M74" s="21">
        <f t="shared" si="10"/>
        <v>573.6585130665037</v>
      </c>
    </row>
    <row r="76" spans="8:13" x14ac:dyDescent="0.25">
      <c r="H76" s="156" t="s">
        <v>341</v>
      </c>
      <c r="I76" s="150"/>
      <c r="J76" s="150"/>
      <c r="K76" s="160">
        <f>K73/K74</f>
        <v>8.1151501337488074</v>
      </c>
      <c r="L76" s="160">
        <f t="shared" ref="L76:M76" ca="1" si="11">L73/L74</f>
        <v>7.7140099615631765</v>
      </c>
      <c r="M76" s="161">
        <f t="shared" ca="1" si="11"/>
        <v>7.9440001963326408</v>
      </c>
    </row>
    <row r="77" spans="8:13" x14ac:dyDescent="0.25">
      <c r="H77" s="157" t="s">
        <v>344</v>
      </c>
      <c r="I77" s="158"/>
      <c r="J77" s="158"/>
      <c r="K77" s="163">
        <f>K56</f>
        <v>5.8</v>
      </c>
      <c r="L77" s="163">
        <f t="shared" ref="L77:M77" ca="1" si="12">L56</f>
        <v>6.1184089069864385</v>
      </c>
      <c r="M77" s="165">
        <f t="shared" ca="1" si="12"/>
        <v>5.5026604476732945</v>
      </c>
    </row>
    <row r="78" spans="8:13" x14ac:dyDescent="0.25">
      <c r="H78" s="157" t="s">
        <v>345</v>
      </c>
      <c r="I78" s="158"/>
      <c r="J78" s="158"/>
      <c r="K78" s="163">
        <f>K76-K77</f>
        <v>2.3151501337488076</v>
      </c>
      <c r="L78" s="163">
        <f t="shared" ref="L78:M78" ca="1" si="13">L76-L77</f>
        <v>1.5956010545767381</v>
      </c>
      <c r="M78" s="165">
        <f t="shared" ca="1" si="13"/>
        <v>2.4413397486593462</v>
      </c>
    </row>
    <row r="79" spans="8:13" x14ac:dyDescent="0.25">
      <c r="H79" s="157" t="s">
        <v>346</v>
      </c>
      <c r="I79" s="158"/>
      <c r="J79" s="158"/>
      <c r="K79" s="164">
        <f>K78/K77</f>
        <v>0.39916381616358754</v>
      </c>
      <c r="L79" s="164">
        <f t="shared" ref="L79:M79" ca="1" si="14">L78/L77</f>
        <v>0.26078692660681213</v>
      </c>
      <c r="M79" s="166">
        <f t="shared" ca="1" si="14"/>
        <v>0.44366534549512771</v>
      </c>
    </row>
    <row r="80" spans="8:13" x14ac:dyDescent="0.25">
      <c r="H80" s="159" t="s">
        <v>347</v>
      </c>
      <c r="I80" s="147"/>
      <c r="J80" s="147"/>
      <c r="K80" s="167">
        <f>MAX(0,-(K78*K74/(1-$C$40)))</f>
        <v>0</v>
      </c>
      <c r="L80" s="167">
        <f t="shared" ref="L80:M80" ca="1" si="15">MAX(0,-(L78*L74/(1-$C$40)))</f>
        <v>0</v>
      </c>
      <c r="M80" s="168">
        <f t="shared" ca="1" si="15"/>
        <v>0</v>
      </c>
    </row>
    <row r="82" spans="8:13" x14ac:dyDescent="0.25">
      <c r="H82" s="132" t="s">
        <v>349</v>
      </c>
      <c r="I82" s="178"/>
      <c r="J82" s="178"/>
      <c r="K82" s="178"/>
      <c r="L82" s="178"/>
      <c r="M82" s="178"/>
    </row>
    <row r="83" spans="8:13" x14ac:dyDescent="0.25">
      <c r="H83" s="25">
        <f>K78</f>
        <v>2.3151501337488076</v>
      </c>
      <c r="I83" s="25">
        <v>24</v>
      </c>
      <c r="J83" s="148">
        <f>I83+1</f>
        <v>25</v>
      </c>
      <c r="K83" s="148">
        <f t="shared" ref="K83:M83" si="16">J83+1</f>
        <v>26</v>
      </c>
      <c r="L83" s="148">
        <f t="shared" si="16"/>
        <v>27</v>
      </c>
      <c r="M83" s="148">
        <f t="shared" si="16"/>
        <v>28</v>
      </c>
    </row>
    <row r="84" spans="8:13" x14ac:dyDescent="0.25">
      <c r="H84" s="28">
        <v>1</v>
      </c>
      <c r="I84" s="170">
        <f t="dataTable" ref="I84:M88" dt2D="1" dtr="1" r1="C22" r2="C27"/>
        <v>-2.9072289400768323</v>
      </c>
      <c r="J84" s="171">
        <v>-3.01073294372818</v>
      </c>
      <c r="K84" s="171">
        <v>-3.1070882166125915</v>
      </c>
      <c r="L84" s="171">
        <v>-3.1970106505395743</v>
      </c>
      <c r="M84" s="172">
        <v>-3.2811236367974059</v>
      </c>
    </row>
    <row r="85" spans="8:13" x14ac:dyDescent="0.25">
      <c r="H85" s="169">
        <f>H84-0.2</f>
        <v>0.8</v>
      </c>
      <c r="I85" s="173">
        <v>-2.4501842181739946</v>
      </c>
      <c r="J85" s="162">
        <v>-2.5737777892482416</v>
      </c>
      <c r="K85" s="162">
        <v>-2.6890476182715228</v>
      </c>
      <c r="L85" s="162">
        <v>-2.796807189357613</v>
      </c>
      <c r="M85" s="174">
        <v>-2.8977673278901315</v>
      </c>
    </row>
    <row r="86" spans="8:13" x14ac:dyDescent="0.25">
      <c r="H86" s="169">
        <f>H85-0.2</f>
        <v>0.60000000000000009</v>
      </c>
      <c r="I86" s="173">
        <v>-1.7403566901184</v>
      </c>
      <c r="J86" s="162">
        <v>-1.8934926629539603</v>
      </c>
      <c r="K86" s="162">
        <v>-2.0367261674258246</v>
      </c>
      <c r="L86" s="162">
        <v>-2.170987628723458</v>
      </c>
      <c r="M86" s="174">
        <v>-2.2970944495376351</v>
      </c>
    </row>
    <row r="87" spans="8:13" x14ac:dyDescent="0.25">
      <c r="H87" s="169">
        <f>H86-0.2</f>
        <v>0.40000000000000008</v>
      </c>
      <c r="I87" s="173">
        <v>-0.4878695720632269</v>
      </c>
      <c r="J87" s="162">
        <v>-0.6881871677841378</v>
      </c>
      <c r="K87" s="162">
        <v>-0.87650728152612523</v>
      </c>
      <c r="L87" s="162">
        <v>-1.05387640996606</v>
      </c>
      <c r="M87" s="174">
        <v>-1.2212227790940799</v>
      </c>
    </row>
    <row r="88" spans="8:13" x14ac:dyDescent="0.25">
      <c r="H88" s="169">
        <f>H87-0.2</f>
        <v>0.20000000000000007</v>
      </c>
      <c r="I88" s="175">
        <v>2.3146236115354482</v>
      </c>
      <c r="J88" s="176">
        <v>2.0318332427170942</v>
      </c>
      <c r="K88" s="176">
        <v>1.762909719517288</v>
      </c>
      <c r="L88" s="176">
        <v>1.5068574933499379</v>
      </c>
      <c r="M88" s="177">
        <v>1.2627740868092658</v>
      </c>
    </row>
  </sheetData>
  <sheetProtection algorithmName="SHA-512" hashValue="+lSLTOj7BR9GZei7FEqRBx4UHirOz+8QUCeuoArilc8lquc3qefkZPHF3R6UjT54aLXzvhsrlaAKHSRYDfXEMA==" saltValue="ChY0LVnWMJUyqpBVijEhSQ==" spinCount="100000" sheet="1" objects="1" scenarios="1"/>
  <mergeCells count="3">
    <mergeCell ref="K6:L7"/>
    <mergeCell ref="I6:I7"/>
    <mergeCell ref="J6:J7"/>
  </mergeCells>
  <dataValidations disablePrompts="1" count="3">
    <dataValidation type="list" allowBlank="1" showInputMessage="1" showErrorMessage="1" sqref="C12 C19" xr:uid="{9E19833E-E2DA-4E54-B8F6-9B3EAEBFCCC7}">
      <formula1>"10-K, 10-Q"</formula1>
    </dataValidation>
    <dataValidation type="list" allowBlank="1" showInputMessage="1" showErrorMessage="1" sqref="C29" xr:uid="{D6D4286A-4C41-4FD1-B873-77C9623A2438}">
      <formula1>"Stock sale, Asset sale"</formula1>
    </dataValidation>
    <dataValidation type="list" allowBlank="1" showInputMessage="1" showErrorMessage="1" sqref="C50" xr:uid="{8D7FC626-5EAD-4216-8C4E-A154631CAE61}">
      <formula1>"Refinanced, Assumed"</formula1>
    </dataValidation>
  </dataValidations>
  <pageMargins left="0.7" right="0.7" top="0.75" bottom="0.75" header="0.3" footer="0.3"/>
  <pageSetup orientation="portrait" r:id="rId1"/>
  <ignoredErrors>
    <ignoredError sqref="M24"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D970E-01AC-46F1-9C32-0455A0391BDD}">
  <dimension ref="A1:R52"/>
  <sheetViews>
    <sheetView zoomScale="140" zoomScaleNormal="140" workbookViewId="0">
      <selection activeCell="B61" sqref="B61"/>
    </sheetView>
  </sheetViews>
  <sheetFormatPr defaultRowHeight="15" x14ac:dyDescent="0.25"/>
  <cols>
    <col min="1" max="1" width="1.7109375" style="14" customWidth="1"/>
    <col min="2" max="2" width="47.42578125" style="14" bestFit="1" customWidth="1"/>
    <col min="3" max="10" width="13.7109375" style="14" customWidth="1"/>
    <col min="11" max="16384" width="9.140625" style="14"/>
  </cols>
  <sheetData>
    <row r="1" spans="1:18" x14ac:dyDescent="0.25">
      <c r="A1" s="2"/>
      <c r="B1" s="3" t="s">
        <v>351</v>
      </c>
      <c r="C1" s="2"/>
      <c r="D1" s="2"/>
      <c r="E1" s="2"/>
      <c r="F1" s="2"/>
      <c r="G1" s="2"/>
      <c r="H1" s="2"/>
      <c r="I1" s="2"/>
      <c r="J1" s="2"/>
      <c r="K1" s="2"/>
      <c r="L1" s="2"/>
      <c r="M1" s="2"/>
      <c r="N1" s="2"/>
      <c r="O1" s="2"/>
      <c r="P1" s="2"/>
      <c r="Q1" s="2"/>
      <c r="R1" s="2"/>
    </row>
    <row r="2" spans="1:18" ht="28.5" x14ac:dyDescent="0.45">
      <c r="A2" s="2"/>
      <c r="B2" s="4" t="s">
        <v>352</v>
      </c>
      <c r="C2" s="2"/>
      <c r="D2" s="2"/>
      <c r="E2" s="2"/>
      <c r="F2" s="2"/>
      <c r="G2" s="2"/>
      <c r="H2" s="2"/>
      <c r="I2" s="2"/>
      <c r="J2" s="2"/>
      <c r="K2" s="2"/>
      <c r="L2" s="2"/>
      <c r="M2" s="2"/>
      <c r="N2" s="2"/>
      <c r="O2" s="2"/>
      <c r="P2" s="2"/>
      <c r="Q2" s="2"/>
      <c r="R2" s="2"/>
    </row>
    <row r="3" spans="1:18" ht="5.25" customHeight="1" x14ac:dyDescent="0.25"/>
    <row r="4" spans="1:18" x14ac:dyDescent="0.25">
      <c r="B4" s="27" t="s">
        <v>353</v>
      </c>
      <c r="C4" s="95" t="s">
        <v>71</v>
      </c>
      <c r="D4" s="95" t="s">
        <v>9</v>
      </c>
      <c r="E4" s="95" t="s">
        <v>380</v>
      </c>
    </row>
    <row r="5" spans="1:18" x14ac:dyDescent="0.25">
      <c r="B5" s="14" t="s">
        <v>354</v>
      </c>
      <c r="C5" s="86">
        <f>'XEROX FSM'!C6</f>
        <v>16.45</v>
      </c>
      <c r="D5" s="86">
        <f>MERGER!C22</f>
        <v>23.998184999999999</v>
      </c>
    </row>
    <row r="6" spans="1:18" x14ac:dyDescent="0.25">
      <c r="B6" s="14" t="s">
        <v>28</v>
      </c>
      <c r="C6" s="89">
        <f>'XEROX FSM'!E32</f>
        <v>233.16900000000001</v>
      </c>
      <c r="D6" s="89">
        <f>'HP FSM'!E32</f>
        <v>1524</v>
      </c>
    </row>
    <row r="7" spans="1:18" x14ac:dyDescent="0.25">
      <c r="B7" s="14" t="s">
        <v>325</v>
      </c>
      <c r="C7" s="18">
        <f>C6*C5</f>
        <v>3835.6300500000002</v>
      </c>
      <c r="D7" s="18">
        <f>D6*D5</f>
        <v>36573.233939999998</v>
      </c>
    </row>
    <row r="8" spans="1:18" x14ac:dyDescent="0.25">
      <c r="B8" s="14" t="s">
        <v>59</v>
      </c>
      <c r="C8" s="89">
        <f>'XEROX DCF'!C54</f>
        <v>1542</v>
      </c>
      <c r="D8" s="89">
        <f>'HP DCF'!C54</f>
        <v>243</v>
      </c>
    </row>
    <row r="9" spans="1:18" x14ac:dyDescent="0.25">
      <c r="B9" s="14" t="s">
        <v>198</v>
      </c>
      <c r="C9" s="18">
        <f>C7+C8</f>
        <v>5377.6300499999998</v>
      </c>
      <c r="D9" s="18">
        <f>D7+D8</f>
        <v>36816.233939999998</v>
      </c>
    </row>
    <row r="10" spans="1:18" ht="5.25" customHeight="1" x14ac:dyDescent="0.25"/>
    <row r="11" spans="1:18" x14ac:dyDescent="0.25">
      <c r="B11" s="27" t="s">
        <v>355</v>
      </c>
    </row>
    <row r="12" spans="1:18" x14ac:dyDescent="0.25">
      <c r="B12" s="14" t="s">
        <v>356</v>
      </c>
      <c r="C12" s="89">
        <f ca="1">'XEROX FSM'!F14</f>
        <v>9156.66</v>
      </c>
      <c r="D12" s="89">
        <f ca="1">'HP FSM'!F14</f>
        <v>59343.56</v>
      </c>
      <c r="E12" s="21">
        <f ca="1">C12+D12</f>
        <v>68500.22</v>
      </c>
    </row>
    <row r="13" spans="1:18" x14ac:dyDescent="0.25">
      <c r="B13" s="14" t="s">
        <v>357</v>
      </c>
      <c r="C13" s="89">
        <f ca="1">'XEROX FSM'!F47</f>
        <v>731.44832700000018</v>
      </c>
      <c r="D13" s="89">
        <f ca="1">'HP FSM'!F47</f>
        <v>4888.6344787000016</v>
      </c>
      <c r="E13" s="21">
        <f ca="1">C13+D13</f>
        <v>5620.0828057000017</v>
      </c>
    </row>
    <row r="14" spans="1:18" x14ac:dyDescent="0.25">
      <c r="B14" s="14" t="s">
        <v>358</v>
      </c>
      <c r="C14" s="89">
        <f ca="1">'XEROX FSM'!F28</f>
        <v>1277.7912343589746</v>
      </c>
      <c r="D14" s="89">
        <f ca="1">'HP FSM'!F28</f>
        <v>2794.2274125024519</v>
      </c>
      <c r="E14" s="21">
        <f ca="1">C14+D14</f>
        <v>4072.0186468614265</v>
      </c>
    </row>
    <row r="15" spans="1:18" ht="5.25" customHeight="1" x14ac:dyDescent="0.25"/>
    <row r="16" spans="1:18" x14ac:dyDescent="0.25">
      <c r="B16" s="27" t="s">
        <v>359</v>
      </c>
    </row>
    <row r="17" spans="2:5" x14ac:dyDescent="0.25">
      <c r="B17" s="14" t="s">
        <v>356</v>
      </c>
      <c r="C17" s="28">
        <f ca="1">C12/$E$12</f>
        <v>0.13367343929698328</v>
      </c>
      <c r="D17" s="28">
        <f ca="1">D12/$E$12</f>
        <v>0.86632656070301672</v>
      </c>
      <c r="E17" s="28">
        <f ca="1">E12/$E$12</f>
        <v>1</v>
      </c>
    </row>
    <row r="18" spans="2:5" x14ac:dyDescent="0.25">
      <c r="B18" s="14" t="s">
        <v>357</v>
      </c>
      <c r="C18" s="28">
        <f ca="1">C13/$E$13</f>
        <v>0.13014903023459912</v>
      </c>
      <c r="D18" s="28">
        <f t="shared" ref="D18:E18" ca="1" si="0">D13/$E$13</f>
        <v>0.86985096976540088</v>
      </c>
      <c r="E18" s="28">
        <f t="shared" ca="1" si="0"/>
        <v>1</v>
      </c>
    </row>
    <row r="19" spans="2:5" x14ac:dyDescent="0.25">
      <c r="B19" s="14" t="s">
        <v>358</v>
      </c>
      <c r="C19" s="28">
        <f ca="1">C14/$E$14</f>
        <v>0.31379798207551252</v>
      </c>
      <c r="D19" s="28">
        <f t="shared" ref="D19:E19" ca="1" si="1">D14/$E$14</f>
        <v>0.68620201792448754</v>
      </c>
      <c r="E19" s="28">
        <f t="shared" ca="1" si="1"/>
        <v>1</v>
      </c>
    </row>
    <row r="20" spans="2:5" x14ac:dyDescent="0.25">
      <c r="B20" s="14" t="s">
        <v>198</v>
      </c>
      <c r="C20" s="28">
        <f>C9/SUM($C$9:$D$9)</f>
        <v>0.1274505234048843</v>
      </c>
      <c r="D20" s="28">
        <f>D9/SUM($C$9:$D$9)</f>
        <v>0.87254947659511572</v>
      </c>
      <c r="E20" s="28">
        <f>SUM(C20:D20)</f>
        <v>1</v>
      </c>
    </row>
    <row r="21" spans="2:5" ht="5.25" customHeight="1" x14ac:dyDescent="0.25"/>
    <row r="22" spans="2:5" x14ac:dyDescent="0.25">
      <c r="B22" s="27" t="s">
        <v>360</v>
      </c>
    </row>
    <row r="23" spans="2:5" x14ac:dyDescent="0.25">
      <c r="B23" s="14" t="s">
        <v>356</v>
      </c>
      <c r="C23" s="149">
        <f ca="1">$C$9/C12</f>
        <v>0.58729165984103371</v>
      </c>
      <c r="D23" s="149">
        <f ca="1">$C$9/D12</f>
        <v>9.0618595345476408E-2</v>
      </c>
      <c r="E23" s="149">
        <f ca="1">SUM($C$9:$D$9)/E12</f>
        <v>0.61596683908460437</v>
      </c>
    </row>
    <row r="24" spans="2:5" x14ac:dyDescent="0.25">
      <c r="B24" s="14" t="s">
        <v>357</v>
      </c>
      <c r="C24" s="149">
        <f ca="1">$C$9/C13</f>
        <v>7.3520300088129105</v>
      </c>
      <c r="D24" s="149">
        <f ca="1">$C$9/D13</f>
        <v>1.1000270266534702</v>
      </c>
      <c r="E24" s="149">
        <f ca="1">SUM($C$9:$D$9)/E13</f>
        <v>7.5076943612300742</v>
      </c>
    </row>
    <row r="25" spans="2:5" x14ac:dyDescent="0.25">
      <c r="B25" s="14" t="s">
        <v>358</v>
      </c>
      <c r="C25" s="149">
        <f ca="1">$C$7/C14</f>
        <v>3.0017658181261577</v>
      </c>
      <c r="D25" s="149">
        <f t="shared" ref="D25" ca="1" si="2">$C$7/D14</f>
        <v>1.3726978816534083</v>
      </c>
      <c r="E25" s="149">
        <f ca="1">SUM($C$7:$D$7)/E14</f>
        <v>9.9235459103670305</v>
      </c>
    </row>
    <row r="26" spans="2:5" ht="5.25" customHeight="1" x14ac:dyDescent="0.25"/>
    <row r="27" spans="2:5" x14ac:dyDescent="0.25">
      <c r="B27" s="27" t="s">
        <v>361</v>
      </c>
      <c r="D27" s="95" t="s">
        <v>362</v>
      </c>
      <c r="E27" s="95" t="s">
        <v>363</v>
      </c>
    </row>
    <row r="28" spans="2:5" x14ac:dyDescent="0.25">
      <c r="B28" s="14" t="s">
        <v>364</v>
      </c>
      <c r="D28" s="21">
        <f>C9</f>
        <v>5377.6300499999998</v>
      </c>
      <c r="E28" s="21">
        <f>C9</f>
        <v>5377.6300499999998</v>
      </c>
    </row>
    <row r="29" spans="2:5" x14ac:dyDescent="0.25">
      <c r="B29" s="14" t="s">
        <v>365</v>
      </c>
      <c r="D29" s="21">
        <f ca="1">D28/C17</f>
        <v>40229.607903275974</v>
      </c>
      <c r="E29" s="21">
        <f ca="1">E28/C18</f>
        <v>41319.01743951987</v>
      </c>
    </row>
    <row r="30" spans="2:5" x14ac:dyDescent="0.25">
      <c r="B30" s="14" t="s">
        <v>366</v>
      </c>
      <c r="D30" s="21">
        <f ca="1">D29-D28</f>
        <v>34851.977853275974</v>
      </c>
      <c r="E30" s="21">
        <f ca="1">E29-E28</f>
        <v>35941.38738951987</v>
      </c>
    </row>
    <row r="31" spans="2:5" x14ac:dyDescent="0.25">
      <c r="B31" s="14" t="s">
        <v>367</v>
      </c>
      <c r="D31" s="21">
        <f>$D$8</f>
        <v>243</v>
      </c>
      <c r="E31" s="21">
        <f>$D$8</f>
        <v>243</v>
      </c>
    </row>
    <row r="32" spans="2:5" x14ac:dyDescent="0.25">
      <c r="B32" s="14" t="s">
        <v>368</v>
      </c>
      <c r="D32" s="21">
        <f ca="1">D30-D31</f>
        <v>34608.977853275974</v>
      </c>
      <c r="E32" s="21">
        <f ca="1">E30-E31</f>
        <v>35698.38738951987</v>
      </c>
    </row>
    <row r="33" spans="2:5" ht="5.25" customHeight="1" x14ac:dyDescent="0.25"/>
    <row r="34" spans="2:5" x14ac:dyDescent="0.25">
      <c r="B34" s="156" t="s">
        <v>369</v>
      </c>
      <c r="C34" s="150"/>
      <c r="D34" s="160">
        <f ca="1">D32/$D$6</f>
        <v>22.709303053330693</v>
      </c>
      <c r="E34" s="161">
        <f ca="1">E32/$D$6</f>
        <v>23.424138707034036</v>
      </c>
    </row>
    <row r="35" spans="2:5" x14ac:dyDescent="0.25">
      <c r="B35" s="157" t="s">
        <v>370</v>
      </c>
      <c r="C35" s="158"/>
      <c r="D35" s="163">
        <f>$D$5</f>
        <v>23.998184999999999</v>
      </c>
      <c r="E35" s="165">
        <f>$D$5</f>
        <v>23.998184999999999</v>
      </c>
    </row>
    <row r="36" spans="2:5" x14ac:dyDescent="0.25">
      <c r="B36" s="159" t="s">
        <v>371</v>
      </c>
      <c r="C36" s="147"/>
      <c r="D36" s="184">
        <f ca="1">D35/D34-1</f>
        <v>5.67556804205962E-2</v>
      </c>
      <c r="E36" s="185">
        <f ca="1">E35/E34-1</f>
        <v>2.4506612607855915E-2</v>
      </c>
    </row>
    <row r="37" spans="2:5" ht="5.25" customHeight="1" x14ac:dyDescent="0.25"/>
    <row r="38" spans="2:5" x14ac:dyDescent="0.25">
      <c r="B38" s="27" t="s">
        <v>361</v>
      </c>
      <c r="E38" s="95" t="s">
        <v>372</v>
      </c>
    </row>
    <row r="39" spans="2:5" x14ac:dyDescent="0.25">
      <c r="B39" s="14" t="s">
        <v>373</v>
      </c>
      <c r="E39" s="21">
        <f>C7</f>
        <v>3835.6300500000002</v>
      </c>
    </row>
    <row r="40" spans="2:5" x14ac:dyDescent="0.25">
      <c r="B40" s="14" t="s">
        <v>374</v>
      </c>
      <c r="E40" s="21">
        <f ca="1">E39/C19</f>
        <v>12223.246384920958</v>
      </c>
    </row>
    <row r="41" spans="2:5" x14ac:dyDescent="0.25">
      <c r="B41" s="14" t="s">
        <v>368</v>
      </c>
      <c r="E41" s="21">
        <f ca="1">E40-E39</f>
        <v>8387.6163349209583</v>
      </c>
    </row>
    <row r="42" spans="2:5" ht="5.25" customHeight="1" x14ac:dyDescent="0.25"/>
    <row r="43" spans="2:5" x14ac:dyDescent="0.25">
      <c r="B43" s="156" t="s">
        <v>369</v>
      </c>
      <c r="C43" s="150"/>
      <c r="D43" s="150"/>
      <c r="E43" s="161">
        <f ca="1">E41/D6</f>
        <v>5.5036852591344871</v>
      </c>
    </row>
    <row r="44" spans="2:5" x14ac:dyDescent="0.25">
      <c r="B44" s="157" t="s">
        <v>370</v>
      </c>
      <c r="C44" s="158"/>
      <c r="D44" s="158"/>
      <c r="E44" s="165">
        <f>MERGER!C22</f>
        <v>23.998184999999999</v>
      </c>
    </row>
    <row r="45" spans="2:5" x14ac:dyDescent="0.25">
      <c r="B45" s="159" t="s">
        <v>371</v>
      </c>
      <c r="C45" s="147"/>
      <c r="D45" s="147"/>
      <c r="E45" s="185">
        <f ca="1">E44/E43-1</f>
        <v>3.3603847004459642</v>
      </c>
    </row>
    <row r="46" spans="2:5" ht="5.25" customHeight="1" x14ac:dyDescent="0.25"/>
    <row r="47" spans="2:5" x14ac:dyDescent="0.25">
      <c r="B47" s="27" t="s">
        <v>375</v>
      </c>
    </row>
    <row r="48" spans="2:5" x14ac:dyDescent="0.25">
      <c r="B48" s="42" t="s">
        <v>376</v>
      </c>
    </row>
    <row r="49" spans="2:5" x14ac:dyDescent="0.25">
      <c r="B49" s="14" t="s">
        <v>377</v>
      </c>
      <c r="E49" s="25">
        <f ca="1">D34</f>
        <v>22.709303053330693</v>
      </c>
    </row>
    <row r="50" spans="2:5" x14ac:dyDescent="0.25">
      <c r="B50" s="14" t="s">
        <v>378</v>
      </c>
      <c r="E50" s="25">
        <f ca="1">E34</f>
        <v>23.424138707034036</v>
      </c>
    </row>
    <row r="51" spans="2:5" x14ac:dyDescent="0.25">
      <c r="B51" s="14" t="s">
        <v>379</v>
      </c>
      <c r="E51" s="25">
        <f ca="1">E43</f>
        <v>5.5036852591344871</v>
      </c>
    </row>
    <row r="52" spans="2:5" x14ac:dyDescent="0.25">
      <c r="B52" s="14" t="s">
        <v>370</v>
      </c>
      <c r="E52" s="25">
        <f>MERGER!C22</f>
        <v>23.998184999999999</v>
      </c>
    </row>
  </sheetData>
  <sheetProtection algorithmName="SHA-512" hashValue="rSwuIJkkhF7VTFQ9fxoPzo+VzdMZ0p6RgjL77Mpbxa4I6e6coyhi2vPjBHggEOlBIzrb9wz68FUoPChCktfCYw==" saltValue="leWxdgD5TD4ZudL/5392bg==" spinCount="100000" sheet="1" objects="1" scenarios="1"/>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61A2E4-8B1C-4EB8-83C4-B5F84D0BF72A}">
  <dimension ref="A1:Q22"/>
  <sheetViews>
    <sheetView tabSelected="1" zoomScale="140" zoomScaleNormal="140" workbookViewId="0">
      <selection activeCell="C31" sqref="C31"/>
    </sheetView>
  </sheetViews>
  <sheetFormatPr defaultRowHeight="15" x14ac:dyDescent="0.25"/>
  <cols>
    <col min="1" max="1" width="1.7109375" style="14" customWidth="1"/>
    <col min="2" max="2" width="46.42578125" style="14" bestFit="1" customWidth="1"/>
    <col min="3" max="3" width="14.7109375" style="14" customWidth="1"/>
    <col min="4" max="4" width="14.85546875" style="14" bestFit="1" customWidth="1"/>
    <col min="5" max="5" width="1.7109375" style="14" customWidth="1"/>
    <col min="6" max="7" width="14.7109375" style="14" customWidth="1"/>
    <col min="8" max="8" width="14.5703125" style="14" bestFit="1" customWidth="1"/>
    <col min="9" max="9" width="1.7109375" style="14" customWidth="1"/>
    <col min="10" max="11" width="14.7109375" style="14" customWidth="1"/>
    <col min="12" max="12" width="1.7109375" style="14" customWidth="1"/>
    <col min="13" max="14" width="14.7109375" style="14" customWidth="1"/>
    <col min="15" max="15" width="1.7109375" style="14" customWidth="1"/>
    <col min="16" max="17" width="14.7109375" style="14" customWidth="1"/>
    <col min="18" max="16384" width="9.140625" style="14"/>
  </cols>
  <sheetData>
    <row r="1" spans="1:17" x14ac:dyDescent="0.25">
      <c r="A1" s="2"/>
      <c r="B1" s="3" t="s">
        <v>351</v>
      </c>
      <c r="C1" s="2"/>
      <c r="D1" s="2"/>
      <c r="E1" s="2"/>
      <c r="F1" s="2"/>
      <c r="G1" s="2"/>
      <c r="H1" s="2"/>
      <c r="I1" s="2"/>
      <c r="J1" s="2"/>
      <c r="K1" s="2"/>
      <c r="L1" s="2"/>
      <c r="M1" s="2"/>
      <c r="N1" s="2"/>
      <c r="O1" s="2"/>
      <c r="P1" s="2"/>
      <c r="Q1" s="2"/>
    </row>
    <row r="2" spans="1:17" ht="28.5" x14ac:dyDescent="0.45">
      <c r="A2" s="2"/>
      <c r="B2" s="4" t="s">
        <v>381</v>
      </c>
      <c r="C2" s="2"/>
      <c r="D2" s="2"/>
      <c r="E2" s="2"/>
      <c r="F2" s="2"/>
      <c r="G2" s="2"/>
      <c r="H2" s="2"/>
      <c r="I2" s="2"/>
      <c r="J2" s="2"/>
      <c r="K2" s="2"/>
      <c r="L2" s="2"/>
      <c r="M2" s="2"/>
      <c r="N2" s="2"/>
      <c r="O2" s="2"/>
      <c r="P2" s="2"/>
      <c r="Q2" s="2"/>
    </row>
    <row r="3" spans="1:17" ht="5.25" customHeight="1" x14ac:dyDescent="0.25"/>
    <row r="4" spans="1:17" x14ac:dyDescent="0.25">
      <c r="C4" s="199" t="s">
        <v>382</v>
      </c>
      <c r="D4" s="199"/>
      <c r="F4" s="199" t="s">
        <v>398</v>
      </c>
      <c r="G4" s="199"/>
      <c r="H4" s="199"/>
      <c r="J4" s="199" t="s">
        <v>400</v>
      </c>
      <c r="K4" s="199"/>
      <c r="M4" s="199" t="s">
        <v>402</v>
      </c>
      <c r="N4" s="199"/>
      <c r="P4" s="199" t="s">
        <v>401</v>
      </c>
      <c r="Q4" s="199"/>
    </row>
    <row r="5" spans="1:17" x14ac:dyDescent="0.25">
      <c r="C5" s="154" t="s">
        <v>383</v>
      </c>
      <c r="D5" s="154" t="s">
        <v>384</v>
      </c>
      <c r="F5" s="154" t="s">
        <v>229</v>
      </c>
      <c r="G5" s="154" t="s">
        <v>399</v>
      </c>
      <c r="H5" s="154" t="s">
        <v>386</v>
      </c>
      <c r="J5" s="154" t="s">
        <v>399</v>
      </c>
      <c r="K5" s="154" t="s">
        <v>386</v>
      </c>
      <c r="M5" s="154" t="s">
        <v>399</v>
      </c>
      <c r="N5" s="154" t="s">
        <v>386</v>
      </c>
      <c r="P5" s="154" t="s">
        <v>399</v>
      </c>
      <c r="Q5" s="154" t="s">
        <v>386</v>
      </c>
    </row>
    <row r="6" spans="1:17" x14ac:dyDescent="0.25">
      <c r="B6" s="14" t="s">
        <v>71</v>
      </c>
      <c r="C6" s="86">
        <f>'XEROX FSM'!C6</f>
        <v>16.45</v>
      </c>
      <c r="D6" s="26">
        <f>C6</f>
        <v>16.45</v>
      </c>
      <c r="F6" s="34">
        <f>C20</f>
        <v>20</v>
      </c>
      <c r="G6" s="21">
        <f ca="1">F6*$C$16</f>
        <v>37842.730632218845</v>
      </c>
      <c r="H6" s="149">
        <f ca="1">$C$14</f>
        <v>1.4588562310030395</v>
      </c>
      <c r="J6" s="21">
        <f ca="1">$D$18</f>
        <v>31125.645945</v>
      </c>
      <c r="K6" s="149">
        <f ca="1">$D$13/F6</f>
        <v>1.1999092499999999</v>
      </c>
      <c r="M6" s="187">
        <f ca="1">$D$18</f>
        <v>31125.645945</v>
      </c>
      <c r="N6" s="188">
        <f ca="1">$D$7/F6</f>
        <v>1.1999092499999999</v>
      </c>
      <c r="P6" s="187">
        <f ca="1">Q6*F6*$C$15</f>
        <v>23942.804573076923</v>
      </c>
      <c r="Q6" s="188">
        <f ca="1">$Q$9</f>
        <v>0.92300711538461533</v>
      </c>
    </row>
    <row r="7" spans="1:17" x14ac:dyDescent="0.25">
      <c r="B7" s="14" t="s">
        <v>9</v>
      </c>
      <c r="C7" s="86">
        <f>'HP FSM'!C6</f>
        <v>13.95</v>
      </c>
      <c r="D7" s="26">
        <f ca="1">D8*D6</f>
        <v>23.998184999999999</v>
      </c>
      <c r="F7" s="34">
        <f>F6+2</f>
        <v>22</v>
      </c>
      <c r="G7" s="21">
        <f t="shared" ref="G7:G11" ca="1" si="0">F7*$C$16</f>
        <v>41627.003695440726</v>
      </c>
      <c r="H7" s="149">
        <f t="shared" ref="H7:H11" ca="1" si="1">$C$14</f>
        <v>1.4588562310030395</v>
      </c>
      <c r="J7" s="21">
        <f t="shared" ref="J7:J11" ca="1" si="2">$D$18</f>
        <v>31125.645945</v>
      </c>
      <c r="K7" s="149">
        <f t="shared" ref="K7:K11" ca="1" si="3">$D$13/F7</f>
        <v>1.0908265909090908</v>
      </c>
      <c r="M7" s="189">
        <f t="shared" ref="M7" ca="1" si="4">$D$18</f>
        <v>31125.645945</v>
      </c>
      <c r="N7" s="190">
        <f t="shared" ref="N7" ca="1" si="5">$D$7/F7</f>
        <v>1.0908265909090908</v>
      </c>
      <c r="P7" s="189">
        <f ca="1">Q7*F7*$C$15</f>
        <v>26337.085030384613</v>
      </c>
      <c r="Q7" s="190">
        <f ca="1">$Q$9</f>
        <v>0.92300711538461533</v>
      </c>
    </row>
    <row r="8" spans="1:17" x14ac:dyDescent="0.25">
      <c r="B8" s="14" t="s">
        <v>385</v>
      </c>
      <c r="C8" s="39">
        <f>C7/C6</f>
        <v>0.84802431610942253</v>
      </c>
      <c r="D8" s="39">
        <f ca="1">D7/D6</f>
        <v>1.4588562310030395</v>
      </c>
      <c r="F8" s="34">
        <f t="shared" ref="F8:F11" si="6">F7+2</f>
        <v>24</v>
      </c>
      <c r="G8" s="21">
        <f t="shared" ca="1" si="0"/>
        <v>45411.276758662614</v>
      </c>
      <c r="H8" s="149">
        <f t="shared" ca="1" si="1"/>
        <v>1.4588562310030395</v>
      </c>
      <c r="J8" s="21">
        <f t="shared" ca="1" si="2"/>
        <v>31125.645945</v>
      </c>
      <c r="K8" s="149">
        <f t="shared" ca="1" si="3"/>
        <v>0.99992437499999998</v>
      </c>
      <c r="M8" s="21">
        <f ca="1">$C$16*F8</f>
        <v>45411.276758662614</v>
      </c>
      <c r="N8" s="149">
        <f ca="1">$C$14</f>
        <v>1.4588562310030395</v>
      </c>
      <c r="P8" s="21">
        <f ca="1">$D$18</f>
        <v>31125.645945</v>
      </c>
      <c r="Q8" s="149">
        <f ca="1">$C$13/F8</f>
        <v>0.99992437499999998</v>
      </c>
    </row>
    <row r="9" spans="1:17" x14ac:dyDescent="0.25">
      <c r="F9" s="34">
        <f t="shared" si="6"/>
        <v>26</v>
      </c>
      <c r="G9" s="21">
        <f t="shared" ca="1" si="0"/>
        <v>49195.549821884502</v>
      </c>
      <c r="H9" s="149">
        <f t="shared" ca="1" si="1"/>
        <v>1.4588562310030395</v>
      </c>
      <c r="J9" s="21">
        <f t="shared" ca="1" si="2"/>
        <v>31125.645945</v>
      </c>
      <c r="K9" s="149">
        <f t="shared" ca="1" si="3"/>
        <v>0.92300711538461533</v>
      </c>
      <c r="M9" s="21">
        <f ca="1">$C$16*F9</f>
        <v>49195.549821884502</v>
      </c>
      <c r="N9" s="149">
        <f ca="1">$C$14</f>
        <v>1.4588562310030395</v>
      </c>
      <c r="P9" s="21">
        <f ca="1">$D$18</f>
        <v>31125.645945</v>
      </c>
      <c r="Q9" s="149">
        <f ca="1">$C$13/F9</f>
        <v>0.92300711538461533</v>
      </c>
    </row>
    <row r="10" spans="1:17" x14ac:dyDescent="0.25">
      <c r="C10" s="199" t="s">
        <v>386</v>
      </c>
      <c r="D10" s="199"/>
      <c r="F10" s="34">
        <f t="shared" si="6"/>
        <v>28</v>
      </c>
      <c r="G10" s="21">
        <f t="shared" ca="1" si="0"/>
        <v>52979.822885106383</v>
      </c>
      <c r="H10" s="149">
        <f t="shared" ca="1" si="1"/>
        <v>1.4588562310030395</v>
      </c>
      <c r="J10" s="21">
        <f t="shared" ca="1" si="2"/>
        <v>31125.645945</v>
      </c>
      <c r="K10" s="149">
        <f t="shared" ca="1" si="3"/>
        <v>0.85707803571428565</v>
      </c>
      <c r="M10" s="187">
        <f ca="1">M9</f>
        <v>49195.549821884502</v>
      </c>
      <c r="N10" s="188">
        <f ca="1">$D$7/F10</f>
        <v>0.85707803571428565</v>
      </c>
      <c r="P10" s="187">
        <f ca="1">Q10*F10*$C$15</f>
        <v>33519.92640230769</v>
      </c>
      <c r="Q10" s="188">
        <f ca="1">$Q$9</f>
        <v>0.92300711538461533</v>
      </c>
    </row>
    <row r="11" spans="1:17" x14ac:dyDescent="0.25">
      <c r="C11" s="154" t="s">
        <v>387</v>
      </c>
      <c r="D11" s="154" t="s">
        <v>388</v>
      </c>
      <c r="F11" s="34">
        <f t="shared" si="6"/>
        <v>30</v>
      </c>
      <c r="G11" s="21">
        <f t="shared" ca="1" si="0"/>
        <v>56764.095948328264</v>
      </c>
      <c r="H11" s="149">
        <f t="shared" ca="1" si="1"/>
        <v>1.4588562310030395</v>
      </c>
      <c r="J11" s="21">
        <f t="shared" ca="1" si="2"/>
        <v>31125.645945</v>
      </c>
      <c r="K11" s="149">
        <f t="shared" ca="1" si="3"/>
        <v>0.79993950000000003</v>
      </c>
      <c r="M11" s="189">
        <f ca="1">M10</f>
        <v>49195.549821884502</v>
      </c>
      <c r="N11" s="190">
        <f ca="1">$D$7/F11</f>
        <v>0.79993950000000003</v>
      </c>
      <c r="P11" s="189">
        <f ca="1">Q11*F11*$C$15</f>
        <v>35914.206859615384</v>
      </c>
      <c r="Q11" s="190">
        <f ca="1">$Q$9</f>
        <v>0.92300711538461533</v>
      </c>
    </row>
    <row r="12" spans="1:17" x14ac:dyDescent="0.25">
      <c r="B12" s="14" t="s">
        <v>389</v>
      </c>
      <c r="C12" s="25">
        <f>'XEROX FSM'!C6</f>
        <v>16.45</v>
      </c>
      <c r="D12" s="25">
        <f>C12</f>
        <v>16.45</v>
      </c>
    </row>
    <row r="13" spans="1:17" x14ac:dyDescent="0.25">
      <c r="B13" s="14" t="s">
        <v>390</v>
      </c>
      <c r="C13" s="25">
        <f ca="1">C12*D8</f>
        <v>23.998184999999999</v>
      </c>
      <c r="D13" s="25">
        <f ca="1">C13</f>
        <v>23.998184999999999</v>
      </c>
    </row>
    <row r="14" spans="1:17" x14ac:dyDescent="0.25">
      <c r="B14" s="14" t="s">
        <v>385</v>
      </c>
      <c r="C14" s="149">
        <f ca="1">C13/C12</f>
        <v>1.4588562310030395</v>
      </c>
      <c r="D14" s="149">
        <f ca="1">D13/D12</f>
        <v>1.4588562310030395</v>
      </c>
    </row>
    <row r="15" spans="1:17" x14ac:dyDescent="0.25">
      <c r="B15" s="14" t="s">
        <v>391</v>
      </c>
      <c r="C15" s="21">
        <f>MERGER!C23</f>
        <v>1297</v>
      </c>
      <c r="D15" s="21">
        <f>C15</f>
        <v>1297</v>
      </c>
    </row>
    <row r="16" spans="1:17" x14ac:dyDescent="0.25">
      <c r="B16" s="14" t="s">
        <v>392</v>
      </c>
      <c r="C16" s="21">
        <f ca="1">C15*D8</f>
        <v>1892.1365316109423</v>
      </c>
      <c r="D16" s="21">
        <f ca="1">D15*D14</f>
        <v>1892.1365316109423</v>
      </c>
    </row>
    <row r="17" spans="2:4" x14ac:dyDescent="0.25">
      <c r="B17" s="14" t="s">
        <v>393</v>
      </c>
      <c r="C17" s="21">
        <f ca="1">C16*D6</f>
        <v>31125.645945</v>
      </c>
      <c r="D17" s="21">
        <f ca="1">D15*D8*D6</f>
        <v>31125.645945</v>
      </c>
    </row>
    <row r="18" spans="2:4" x14ac:dyDescent="0.25">
      <c r="B18" s="14" t="s">
        <v>394</v>
      </c>
      <c r="C18" s="21">
        <f ca="1">C16*C12</f>
        <v>31125.645945</v>
      </c>
      <c r="D18" s="21">
        <f ca="1">D16*D12</f>
        <v>31125.645945</v>
      </c>
    </row>
    <row r="20" spans="2:4" x14ac:dyDescent="0.25">
      <c r="B20" s="14" t="s">
        <v>395</v>
      </c>
      <c r="C20" s="84">
        <v>20</v>
      </c>
      <c r="D20" s="26">
        <f>C20</f>
        <v>20</v>
      </c>
    </row>
    <row r="21" spans="2:4" x14ac:dyDescent="0.25">
      <c r="B21" s="14" t="s">
        <v>396</v>
      </c>
      <c r="C21" s="84">
        <v>22</v>
      </c>
      <c r="D21" s="26">
        <f t="shared" ref="D21:D22" si="7">C21</f>
        <v>22</v>
      </c>
    </row>
    <row r="22" spans="2:4" x14ac:dyDescent="0.25">
      <c r="B22" s="14" t="s">
        <v>397</v>
      </c>
      <c r="C22" s="84">
        <v>30</v>
      </c>
      <c r="D22" s="26">
        <f t="shared" si="7"/>
        <v>30</v>
      </c>
    </row>
  </sheetData>
  <sheetProtection algorithmName="SHA-512" hashValue="qGArzW0FCBqcx5LYKLwVHSDkN4nuQQFRYUdFhD717nbwu0eR91vI5znKv7YL9ox57B4ybiHfcSRVQTCJ2amWZQ==" saltValue="G6oeUUAaB3LABNGFDAvn5g==" spinCount="100000" sheet="1" objects="1" scenarios="1"/>
  <mergeCells count="6">
    <mergeCell ref="P4:Q4"/>
    <mergeCell ref="C4:D4"/>
    <mergeCell ref="C10:D10"/>
    <mergeCell ref="F4:H4"/>
    <mergeCell ref="J4:K4"/>
    <mergeCell ref="M4:N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COVER</vt:lpstr>
      <vt:lpstr>SCENARIO</vt:lpstr>
      <vt:lpstr>HP FSM</vt:lpstr>
      <vt:lpstr>HP DCF</vt:lpstr>
      <vt:lpstr>XEROX FSM</vt:lpstr>
      <vt:lpstr>XEROX DCF</vt:lpstr>
      <vt:lpstr>MERGER</vt:lpstr>
      <vt:lpstr>CONTRIBUTION</vt:lpstr>
      <vt:lpstr>EXCHANGE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Sergio</dc:creator>
  <cp:lastModifiedBy>Sergio</cp:lastModifiedBy>
  <dcterms:created xsi:type="dcterms:W3CDTF">2020-03-03T18:17:19Z</dcterms:created>
  <dcterms:modified xsi:type="dcterms:W3CDTF">2020-03-23T00:43:23Z</dcterms:modified>
</cp:coreProperties>
</file>