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\Desktop\Financial Models and Projects\ASVP Capital Copies\"/>
    </mc:Choice>
  </mc:AlternateContent>
  <xr:revisionPtr revIDLastSave="0" documentId="13_ncr:1_{D9938093-3C6D-4994-97D6-152330DEE501}" xr6:coauthVersionLast="45" xr6:coauthVersionMax="45" xr10:uidLastSave="{00000000-0000-0000-0000-000000000000}"/>
  <bookViews>
    <workbookView xWindow="0" yWindow="885" windowWidth="28800" windowHeight="14835" xr2:uid="{CB60DCC3-1527-4012-941A-C1CDD8844D72}"/>
  </bookViews>
  <sheets>
    <sheet name="NWS LBO" sheetId="1" r:id="rId1"/>
  </sheets>
  <calcPr calcId="191029" calcMode="autoNoTable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8" i="1" l="1"/>
  <c r="H275" i="1"/>
  <c r="H274" i="1"/>
  <c r="G262" i="1"/>
  <c r="G263" i="1" s="1"/>
  <c r="G264" i="1" s="1"/>
  <c r="G265" i="1" s="1"/>
  <c r="H262" i="1"/>
  <c r="H263" i="1" s="1"/>
  <c r="H264" i="1" s="1"/>
  <c r="H265" i="1" s="1"/>
  <c r="I262" i="1"/>
  <c r="I263" i="1" s="1"/>
  <c r="I264" i="1" s="1"/>
  <c r="I265" i="1" s="1"/>
  <c r="F262" i="1"/>
  <c r="F263" i="1" s="1"/>
  <c r="F264" i="1" s="1"/>
  <c r="F265" i="1" s="1"/>
  <c r="G256" i="1"/>
  <c r="G257" i="1" s="1"/>
  <c r="G258" i="1" s="1"/>
  <c r="G259" i="1" s="1"/>
  <c r="H256" i="1"/>
  <c r="H257" i="1" s="1"/>
  <c r="H258" i="1" s="1"/>
  <c r="H259" i="1" s="1"/>
  <c r="I256" i="1"/>
  <c r="I257" i="1" s="1"/>
  <c r="I258" i="1" s="1"/>
  <c r="I259" i="1" s="1"/>
  <c r="F256" i="1"/>
  <c r="F257" i="1" s="1"/>
  <c r="F258" i="1" s="1"/>
  <c r="F259" i="1" s="1"/>
  <c r="G52" i="1"/>
  <c r="H52" i="1"/>
  <c r="I52" i="1"/>
  <c r="J52" i="1"/>
  <c r="F52" i="1"/>
  <c r="F283" i="1"/>
  <c r="G283" i="1" s="1"/>
  <c r="H283" i="1" s="1"/>
  <c r="I283" i="1" s="1"/>
  <c r="J283" i="1" s="1"/>
  <c r="F218" i="1"/>
  <c r="B261" i="1" s="1"/>
  <c r="E212" i="1"/>
  <c r="E211" i="1"/>
  <c r="G145" i="1"/>
  <c r="H145" i="1"/>
  <c r="I145" i="1"/>
  <c r="J145" i="1"/>
  <c r="F145" i="1"/>
  <c r="E141" i="1"/>
  <c r="F136" i="1"/>
  <c r="F144" i="1" s="1"/>
  <c r="J16" i="1"/>
  <c r="H16" i="1" s="1"/>
  <c r="C285" i="1" s="1"/>
  <c r="G112" i="1"/>
  <c r="H112" i="1"/>
  <c r="I112" i="1"/>
  <c r="J112" i="1"/>
  <c r="G115" i="1"/>
  <c r="H115" i="1"/>
  <c r="I115" i="1"/>
  <c r="J115" i="1"/>
  <c r="G121" i="1"/>
  <c r="H121" i="1"/>
  <c r="I121" i="1"/>
  <c r="J121" i="1"/>
  <c r="F121" i="1"/>
  <c r="F115" i="1"/>
  <c r="F112" i="1"/>
  <c r="E63" i="1"/>
  <c r="D63" i="1"/>
  <c r="C63" i="1"/>
  <c r="G69" i="1"/>
  <c r="H69" i="1"/>
  <c r="I69" i="1"/>
  <c r="J69" i="1"/>
  <c r="F69" i="1"/>
  <c r="B243" i="1" l="1"/>
  <c r="J285" i="1"/>
  <c r="F285" i="1"/>
  <c r="H285" i="1"/>
  <c r="I285" i="1"/>
  <c r="G285" i="1"/>
  <c r="E285" i="1"/>
  <c r="G218" i="1"/>
  <c r="B244" i="1" s="1"/>
  <c r="B255" i="1"/>
  <c r="B249" i="1"/>
  <c r="F146" i="1"/>
  <c r="B262" i="1" l="1"/>
  <c r="H218" i="1"/>
  <c r="B257" i="1" s="1"/>
  <c r="B250" i="1"/>
  <c r="B256" i="1"/>
  <c r="I218" i="1"/>
  <c r="B263" i="1"/>
  <c r="B251" i="1"/>
  <c r="B245" i="1" l="1"/>
  <c r="J218" i="1"/>
  <c r="B252" i="1"/>
  <c r="B264" i="1"/>
  <c r="B258" i="1"/>
  <c r="B246" i="1"/>
  <c r="B253" i="1" l="1"/>
  <c r="B259" i="1"/>
  <c r="B265" i="1"/>
  <c r="B247" i="1"/>
  <c r="F99" i="1" l="1"/>
  <c r="G99" i="1" s="1"/>
  <c r="H99" i="1" s="1"/>
  <c r="I99" i="1" s="1"/>
  <c r="J99" i="1" s="1"/>
  <c r="E97" i="1"/>
  <c r="E96" i="1"/>
  <c r="D94" i="1"/>
  <c r="D97" i="1" s="1"/>
  <c r="D96" i="1" l="1"/>
  <c r="E82" i="1"/>
  <c r="D82" i="1"/>
  <c r="E88" i="1"/>
  <c r="D88" i="1"/>
  <c r="E86" i="1" l="1"/>
  <c r="D86" i="1"/>
  <c r="E84" i="1"/>
  <c r="D84" i="1"/>
  <c r="E80" i="1"/>
  <c r="D80" i="1"/>
  <c r="E78" i="1"/>
  <c r="D78" i="1"/>
  <c r="G71" i="1"/>
  <c r="H71" i="1"/>
  <c r="I71" i="1"/>
  <c r="J71" i="1"/>
  <c r="F71" i="1"/>
  <c r="E68" i="1"/>
  <c r="D68" i="1"/>
  <c r="C68" i="1"/>
  <c r="E71" i="1"/>
  <c r="D71" i="1"/>
  <c r="C71" i="1"/>
  <c r="E69" i="1"/>
  <c r="D69" i="1"/>
  <c r="C69" i="1"/>
  <c r="E62" i="1"/>
  <c r="D62" i="1"/>
  <c r="C62" i="1"/>
  <c r="E60" i="1"/>
  <c r="D60" i="1"/>
  <c r="E42" i="1"/>
  <c r="E61" i="1" s="1"/>
  <c r="D42" i="1"/>
  <c r="D61" i="1" s="1"/>
  <c r="C42" i="1"/>
  <c r="C61" i="1" s="1"/>
  <c r="F40" i="1"/>
  <c r="D14" i="1"/>
  <c r="D13" i="1"/>
  <c r="J12" i="1" s="1"/>
  <c r="J15" i="1"/>
  <c r="F44" i="1" l="1"/>
  <c r="F94" i="1"/>
  <c r="J13" i="1"/>
  <c r="E138" i="1"/>
  <c r="F85" i="1"/>
  <c r="C47" i="1"/>
  <c r="C67" i="1" s="1"/>
  <c r="C72" i="1" s="1"/>
  <c r="H12" i="1"/>
  <c r="D20" i="1" s="1"/>
  <c r="E47" i="1"/>
  <c r="E67" i="1" s="1"/>
  <c r="E72" i="1" s="1"/>
  <c r="D12" i="1" s="1"/>
  <c r="H13" i="1"/>
  <c r="D47" i="1"/>
  <c r="D67" i="1" s="1"/>
  <c r="D72" i="1" s="1"/>
  <c r="F77" i="1"/>
  <c r="F79" i="1"/>
  <c r="D26" i="1"/>
  <c r="J10" i="1"/>
  <c r="H10" i="1" s="1"/>
  <c r="F42" i="1"/>
  <c r="F41" i="1" s="1"/>
  <c r="G40" i="1"/>
  <c r="G94" i="1" s="1"/>
  <c r="H15" i="1" l="1"/>
  <c r="D19" i="1" s="1"/>
  <c r="F120" i="1"/>
  <c r="F122" i="1" s="1"/>
  <c r="F95" i="1"/>
  <c r="F45" i="1" s="1"/>
  <c r="F68" i="1" s="1"/>
  <c r="F111" i="1" s="1"/>
  <c r="F154" i="1"/>
  <c r="F70" i="1"/>
  <c r="F113" i="1" s="1"/>
  <c r="G120" i="1"/>
  <c r="G95" i="1"/>
  <c r="G45" i="1" s="1"/>
  <c r="G68" i="1" s="1"/>
  <c r="G111" i="1" s="1"/>
  <c r="F83" i="1"/>
  <c r="F81" i="1"/>
  <c r="H35" i="1"/>
  <c r="J8" i="1"/>
  <c r="J9" i="1" s="1"/>
  <c r="H9" i="1" s="1"/>
  <c r="D31" i="1"/>
  <c r="D29" i="1"/>
  <c r="F272" i="1" s="1"/>
  <c r="D30" i="1"/>
  <c r="F273" i="1" s="1"/>
  <c r="D28" i="1"/>
  <c r="F271" i="1" s="1"/>
  <c r="H8" i="1"/>
  <c r="D27" i="1"/>
  <c r="D33" i="1"/>
  <c r="D32" i="1"/>
  <c r="G79" i="1"/>
  <c r="G77" i="1"/>
  <c r="G85" i="1"/>
  <c r="C26" i="1"/>
  <c r="C54" i="1"/>
  <c r="H40" i="1"/>
  <c r="H94" i="1" s="1"/>
  <c r="G42" i="1"/>
  <c r="G44" i="1"/>
  <c r="E54" i="1"/>
  <c r="D54" i="1"/>
  <c r="F93" i="1" l="1"/>
  <c r="G93" i="1" s="1"/>
  <c r="F47" i="1"/>
  <c r="C284" i="1"/>
  <c r="C289" i="1" s="1"/>
  <c r="C290" i="1" s="1"/>
  <c r="H18" i="1"/>
  <c r="E243" i="1"/>
  <c r="F274" i="1"/>
  <c r="E244" i="1"/>
  <c r="E247" i="1"/>
  <c r="E245" i="1"/>
  <c r="F183" i="1"/>
  <c r="E246" i="1"/>
  <c r="E251" i="1"/>
  <c r="E249" i="1"/>
  <c r="E253" i="1"/>
  <c r="E250" i="1"/>
  <c r="E252" i="1"/>
  <c r="E238" i="1"/>
  <c r="F270" i="1"/>
  <c r="F150" i="1"/>
  <c r="G154" i="1"/>
  <c r="H19" i="1"/>
  <c r="C287" i="1" s="1"/>
  <c r="C286" i="1"/>
  <c r="E255" i="1"/>
  <c r="E259" i="1"/>
  <c r="E257" i="1"/>
  <c r="E256" i="1"/>
  <c r="E258" i="1"/>
  <c r="C231" i="1"/>
  <c r="F276" i="1"/>
  <c r="F191" i="1"/>
  <c r="F275" i="1"/>
  <c r="H120" i="1"/>
  <c r="H95" i="1"/>
  <c r="H45" i="1" s="1"/>
  <c r="H68" i="1" s="1"/>
  <c r="H111" i="1" s="1"/>
  <c r="F176" i="1"/>
  <c r="E241" i="1"/>
  <c r="F167" i="1"/>
  <c r="F168" i="1" s="1"/>
  <c r="E240" i="1"/>
  <c r="F158" i="1"/>
  <c r="F159" i="1" s="1"/>
  <c r="E239" i="1"/>
  <c r="F67" i="1"/>
  <c r="F72" i="1" s="1"/>
  <c r="G47" i="1"/>
  <c r="G67" i="1" s="1"/>
  <c r="F88" i="1"/>
  <c r="F114" i="1" s="1"/>
  <c r="H79" i="1"/>
  <c r="H85" i="1"/>
  <c r="H77" i="1"/>
  <c r="J30" i="1"/>
  <c r="H30" i="1"/>
  <c r="J29" i="1"/>
  <c r="H29" i="1"/>
  <c r="J28" i="1"/>
  <c r="H28" i="1"/>
  <c r="H31" i="1"/>
  <c r="J31" i="1"/>
  <c r="J27" i="1"/>
  <c r="H27" i="1"/>
  <c r="E64" i="1"/>
  <c r="E57" i="1"/>
  <c r="G41" i="1"/>
  <c r="G70" i="1" s="1"/>
  <c r="G113" i="1" s="1"/>
  <c r="H44" i="1"/>
  <c r="I40" i="1"/>
  <c r="I94" i="1" s="1"/>
  <c r="H42" i="1"/>
  <c r="D57" i="1"/>
  <c r="D64" i="1"/>
  <c r="C64" i="1"/>
  <c r="C57" i="1"/>
  <c r="H6" i="1"/>
  <c r="H47" i="1" l="1"/>
  <c r="H67" i="1" s="1"/>
  <c r="F184" i="1"/>
  <c r="F185" i="1" s="1"/>
  <c r="F211" i="1"/>
  <c r="H154" i="1"/>
  <c r="F192" i="1"/>
  <c r="F193" i="1" s="1"/>
  <c r="H93" i="1"/>
  <c r="I120" i="1"/>
  <c r="I95" i="1"/>
  <c r="I45" i="1" s="1"/>
  <c r="I68" i="1" s="1"/>
  <c r="I111" i="1" s="1"/>
  <c r="F177" i="1"/>
  <c r="G83" i="1"/>
  <c r="G81" i="1"/>
  <c r="H32" i="1"/>
  <c r="J32" i="1"/>
  <c r="I85" i="1"/>
  <c r="I79" i="1"/>
  <c r="I77" i="1"/>
  <c r="H41" i="1"/>
  <c r="H70" i="1" s="1"/>
  <c r="H113" i="1" s="1"/>
  <c r="I42" i="1"/>
  <c r="I44" i="1"/>
  <c r="J40" i="1"/>
  <c r="J94" i="1" s="1"/>
  <c r="F124" i="1" l="1"/>
  <c r="I154" i="1"/>
  <c r="F186" i="1"/>
  <c r="G183" i="1" s="1"/>
  <c r="G184" i="1"/>
  <c r="G185" i="1" s="1"/>
  <c r="F212" i="1"/>
  <c r="F117" i="1"/>
  <c r="F247" i="1"/>
  <c r="F245" i="1"/>
  <c r="F243" i="1"/>
  <c r="F246" i="1"/>
  <c r="F244" i="1"/>
  <c r="G191" i="1"/>
  <c r="F195" i="1"/>
  <c r="I93" i="1"/>
  <c r="J120" i="1"/>
  <c r="J95" i="1"/>
  <c r="J45" i="1" s="1"/>
  <c r="J68" i="1" s="1"/>
  <c r="J111" i="1" s="1"/>
  <c r="F178" i="1"/>
  <c r="G199" i="1"/>
  <c r="I199" i="1"/>
  <c r="H199" i="1"/>
  <c r="J199" i="1"/>
  <c r="F199" i="1"/>
  <c r="D21" i="1"/>
  <c r="D22" i="1" s="1"/>
  <c r="D34" i="1" s="1"/>
  <c r="F198" i="1"/>
  <c r="F200" i="1" s="1"/>
  <c r="G198" i="1" s="1"/>
  <c r="H83" i="1"/>
  <c r="H81" i="1"/>
  <c r="G88" i="1"/>
  <c r="J77" i="1"/>
  <c r="J79" i="1"/>
  <c r="J85" i="1"/>
  <c r="I47" i="1"/>
  <c r="I41" i="1"/>
  <c r="I70" i="1" s="1"/>
  <c r="I113" i="1" s="1"/>
  <c r="J42" i="1"/>
  <c r="J44" i="1"/>
  <c r="G186" i="1" l="1"/>
  <c r="H183" i="1" s="1"/>
  <c r="G212" i="1"/>
  <c r="G117" i="1"/>
  <c r="G211" i="1"/>
  <c r="F252" i="1"/>
  <c r="F250" i="1"/>
  <c r="F125" i="1"/>
  <c r="F251" i="1"/>
  <c r="F249" i="1"/>
  <c r="F253" i="1"/>
  <c r="G192" i="1"/>
  <c r="G193" i="1" s="1"/>
  <c r="C230" i="1"/>
  <c r="D230" i="1" s="1"/>
  <c r="D231" i="1" s="1"/>
  <c r="E231" i="1" s="1"/>
  <c r="H276" i="1" s="1"/>
  <c r="E265" i="1"/>
  <c r="F277" i="1"/>
  <c r="E264" i="1"/>
  <c r="E263" i="1"/>
  <c r="E262" i="1"/>
  <c r="E261" i="1"/>
  <c r="J154" i="1"/>
  <c r="J93" i="1"/>
  <c r="G114" i="1"/>
  <c r="G176" i="1"/>
  <c r="F210" i="1"/>
  <c r="F241" i="1" s="1"/>
  <c r="D35" i="1"/>
  <c r="C34" i="1"/>
  <c r="C35" i="1" s="1"/>
  <c r="G200" i="1"/>
  <c r="H198" i="1" s="1"/>
  <c r="H200" i="1" s="1"/>
  <c r="I198" i="1" s="1"/>
  <c r="I200" i="1" s="1"/>
  <c r="J198" i="1" s="1"/>
  <c r="J200" i="1" s="1"/>
  <c r="I67" i="1"/>
  <c r="J47" i="1"/>
  <c r="J67" i="1" s="1"/>
  <c r="H88" i="1"/>
  <c r="I83" i="1"/>
  <c r="I81" i="1"/>
  <c r="I88" i="1" s="1"/>
  <c r="J41" i="1"/>
  <c r="J70" i="1" s="1"/>
  <c r="J113" i="1" s="1"/>
  <c r="G247" i="1" l="1"/>
  <c r="G245" i="1"/>
  <c r="G243" i="1"/>
  <c r="G244" i="1"/>
  <c r="G246" i="1"/>
  <c r="H184" i="1"/>
  <c r="H185" i="1" s="1"/>
  <c r="H191" i="1"/>
  <c r="H192" i="1" s="1"/>
  <c r="H193" i="1" s="1"/>
  <c r="G195" i="1"/>
  <c r="G277" i="1"/>
  <c r="G270" i="1"/>
  <c r="F278" i="1"/>
  <c r="G276" i="1"/>
  <c r="G275" i="1"/>
  <c r="G271" i="1"/>
  <c r="G274" i="1"/>
  <c r="G273" i="1"/>
  <c r="G272" i="1"/>
  <c r="I114" i="1"/>
  <c r="H114" i="1"/>
  <c r="G177" i="1"/>
  <c r="G178" i="1" s="1"/>
  <c r="H176" i="1" s="1"/>
  <c r="E230" i="1"/>
  <c r="H277" i="1" s="1"/>
  <c r="H278" i="1" s="1"/>
  <c r="I72" i="1"/>
  <c r="J83" i="1"/>
  <c r="J81" i="1"/>
  <c r="H186" i="1" l="1"/>
  <c r="I183" i="1" s="1"/>
  <c r="H117" i="1"/>
  <c r="H212" i="1"/>
  <c r="H211" i="1"/>
  <c r="G252" i="1"/>
  <c r="G250" i="1"/>
  <c r="G251" i="1"/>
  <c r="G249" i="1"/>
  <c r="G253" i="1"/>
  <c r="G125" i="1"/>
  <c r="I191" i="1"/>
  <c r="H195" i="1"/>
  <c r="G278" i="1"/>
  <c r="G210" i="1"/>
  <c r="G241" i="1" s="1"/>
  <c r="H177" i="1"/>
  <c r="H178" i="1" s="1"/>
  <c r="I176" i="1" s="1"/>
  <c r="J88" i="1"/>
  <c r="J114" i="1" s="1"/>
  <c r="H246" i="1" l="1"/>
  <c r="H244" i="1"/>
  <c r="H247" i="1"/>
  <c r="H245" i="1"/>
  <c r="H243" i="1"/>
  <c r="I184" i="1"/>
  <c r="I185" i="1" s="1"/>
  <c r="H125" i="1"/>
  <c r="H252" i="1"/>
  <c r="H250" i="1"/>
  <c r="H253" i="1"/>
  <c r="H251" i="1"/>
  <c r="H249" i="1"/>
  <c r="I192" i="1"/>
  <c r="I193" i="1"/>
  <c r="H210" i="1"/>
  <c r="H241" i="1" s="1"/>
  <c r="I177" i="1"/>
  <c r="I178" i="1" s="1"/>
  <c r="J176" i="1" s="1"/>
  <c r="I186" i="1" l="1"/>
  <c r="J183" i="1" s="1"/>
  <c r="I117" i="1"/>
  <c r="I212" i="1"/>
  <c r="I211" i="1"/>
  <c r="J191" i="1"/>
  <c r="J192" i="1" s="1"/>
  <c r="J193" i="1" s="1"/>
  <c r="I195" i="1"/>
  <c r="I210" i="1"/>
  <c r="I241" i="1" s="1"/>
  <c r="J177" i="1"/>
  <c r="J178" i="1" s="1"/>
  <c r="J210" i="1" s="1"/>
  <c r="J241" i="1" s="1"/>
  <c r="I247" i="1" l="1"/>
  <c r="I245" i="1"/>
  <c r="I243" i="1"/>
  <c r="I246" i="1"/>
  <c r="I244" i="1"/>
  <c r="J184" i="1"/>
  <c r="J185" i="1" s="1"/>
  <c r="I252" i="1"/>
  <c r="I250" i="1"/>
  <c r="I125" i="1"/>
  <c r="I253" i="1"/>
  <c r="I251" i="1"/>
  <c r="I249" i="1"/>
  <c r="I227" i="1"/>
  <c r="J227" i="1"/>
  <c r="F227" i="1"/>
  <c r="J195" i="1"/>
  <c r="J125" i="1" s="1"/>
  <c r="G227" i="1"/>
  <c r="H227" i="1"/>
  <c r="H225" i="1"/>
  <c r="I225" i="1"/>
  <c r="J225" i="1"/>
  <c r="F225" i="1"/>
  <c r="G225" i="1"/>
  <c r="C241" i="1"/>
  <c r="I273" i="1" s="1"/>
  <c r="D241" i="1"/>
  <c r="J273" i="1" s="1"/>
  <c r="J117" i="1" l="1"/>
  <c r="J212" i="1"/>
  <c r="J186" i="1"/>
  <c r="J211" i="1"/>
  <c r="G226" i="1" l="1"/>
  <c r="F226" i="1"/>
  <c r="H226" i="1"/>
  <c r="J226" i="1"/>
  <c r="I226" i="1"/>
  <c r="J72" i="1" l="1"/>
  <c r="H72" i="1"/>
  <c r="G72" i="1"/>
  <c r="J219" i="1" l="1"/>
  <c r="J220" i="1" s="1"/>
  <c r="I219" i="1"/>
  <c r="I220" i="1" s="1"/>
  <c r="H219" i="1"/>
  <c r="H220" i="1" s="1"/>
  <c r="G219" i="1"/>
  <c r="G220" i="1" s="1"/>
  <c r="F219" i="1"/>
  <c r="F220" i="1" s="1"/>
  <c r="F51" i="1"/>
  <c r="G51" i="1"/>
  <c r="H51" i="1"/>
  <c r="I51" i="1"/>
  <c r="J51" i="1"/>
  <c r="F54" i="1"/>
  <c r="G54" i="1"/>
  <c r="H54" i="1"/>
  <c r="I54" i="1"/>
  <c r="J54" i="1"/>
  <c r="F56" i="1"/>
  <c r="G56" i="1"/>
  <c r="H56" i="1"/>
  <c r="I56" i="1"/>
  <c r="J56" i="1"/>
  <c r="F57" i="1"/>
  <c r="G57" i="1"/>
  <c r="H57" i="1"/>
  <c r="I57" i="1"/>
  <c r="J57" i="1"/>
  <c r="F110" i="1"/>
  <c r="G110" i="1"/>
  <c r="H110" i="1"/>
  <c r="I110" i="1"/>
  <c r="J110" i="1"/>
  <c r="F118" i="1"/>
  <c r="G118" i="1"/>
  <c r="H118" i="1"/>
  <c r="I118" i="1"/>
  <c r="J118" i="1"/>
  <c r="G122" i="1"/>
  <c r="H122" i="1"/>
  <c r="I122" i="1"/>
  <c r="J122" i="1"/>
  <c r="G124" i="1"/>
  <c r="H124" i="1"/>
  <c r="I124" i="1"/>
  <c r="J124" i="1"/>
  <c r="F126" i="1"/>
  <c r="G126" i="1"/>
  <c r="H126" i="1"/>
  <c r="I126" i="1"/>
  <c r="J126" i="1"/>
  <c r="F127" i="1"/>
  <c r="G127" i="1"/>
  <c r="H127" i="1"/>
  <c r="I127" i="1"/>
  <c r="J127" i="1"/>
  <c r="F128" i="1"/>
  <c r="G128" i="1"/>
  <c r="H128" i="1"/>
  <c r="I128" i="1"/>
  <c r="J128" i="1"/>
  <c r="F129" i="1"/>
  <c r="G129" i="1"/>
  <c r="H129" i="1"/>
  <c r="I129" i="1"/>
  <c r="J129" i="1"/>
  <c r="F130" i="1"/>
  <c r="G130" i="1"/>
  <c r="H130" i="1"/>
  <c r="I130" i="1"/>
  <c r="J130" i="1"/>
  <c r="F131" i="1"/>
  <c r="G131" i="1"/>
  <c r="H131" i="1"/>
  <c r="I131" i="1"/>
  <c r="J131" i="1"/>
  <c r="G136" i="1"/>
  <c r="H136" i="1"/>
  <c r="I136" i="1"/>
  <c r="J136" i="1"/>
  <c r="F137" i="1"/>
  <c r="G137" i="1"/>
  <c r="H137" i="1"/>
  <c r="I137" i="1"/>
  <c r="J137" i="1"/>
  <c r="F138" i="1"/>
  <c r="G138" i="1"/>
  <c r="H138" i="1"/>
  <c r="I138" i="1"/>
  <c r="J138" i="1"/>
  <c r="F140" i="1"/>
  <c r="G140" i="1"/>
  <c r="H140" i="1"/>
  <c r="I140" i="1"/>
  <c r="J140" i="1"/>
  <c r="G144" i="1"/>
  <c r="H144" i="1"/>
  <c r="I144" i="1"/>
  <c r="J144" i="1"/>
  <c r="G146" i="1"/>
  <c r="H146" i="1"/>
  <c r="I146" i="1"/>
  <c r="J146" i="1"/>
  <c r="F147" i="1"/>
  <c r="G147" i="1"/>
  <c r="H147" i="1"/>
  <c r="I147" i="1"/>
  <c r="J147" i="1"/>
  <c r="F148" i="1"/>
  <c r="G148" i="1"/>
  <c r="H148" i="1"/>
  <c r="I148" i="1"/>
  <c r="J148" i="1"/>
  <c r="G150" i="1"/>
  <c r="H150" i="1"/>
  <c r="I150" i="1"/>
  <c r="J150" i="1"/>
  <c r="F151" i="1"/>
  <c r="G151" i="1"/>
  <c r="H151" i="1"/>
  <c r="I151" i="1"/>
  <c r="J151" i="1"/>
  <c r="F152" i="1"/>
  <c r="G152" i="1"/>
  <c r="H152" i="1"/>
  <c r="I152" i="1"/>
  <c r="J152" i="1"/>
  <c r="F155" i="1"/>
  <c r="G155" i="1"/>
  <c r="H155" i="1"/>
  <c r="I155" i="1"/>
  <c r="J155" i="1"/>
  <c r="G158" i="1"/>
  <c r="H158" i="1"/>
  <c r="I158" i="1"/>
  <c r="J158" i="1"/>
  <c r="G159" i="1"/>
  <c r="H159" i="1"/>
  <c r="I159" i="1"/>
  <c r="J159" i="1"/>
  <c r="F160" i="1"/>
  <c r="G160" i="1"/>
  <c r="H160" i="1"/>
  <c r="I160" i="1"/>
  <c r="J160" i="1"/>
  <c r="F161" i="1"/>
  <c r="G161" i="1"/>
  <c r="H161" i="1"/>
  <c r="I161" i="1"/>
  <c r="J161" i="1"/>
  <c r="F164" i="1"/>
  <c r="G164" i="1"/>
  <c r="H164" i="1"/>
  <c r="I164" i="1"/>
  <c r="J164" i="1"/>
  <c r="G167" i="1"/>
  <c r="H167" i="1"/>
  <c r="I167" i="1"/>
  <c r="J167" i="1"/>
  <c r="G168" i="1"/>
  <c r="H168" i="1"/>
  <c r="I168" i="1"/>
  <c r="J168" i="1"/>
  <c r="F169" i="1"/>
  <c r="G169" i="1"/>
  <c r="H169" i="1"/>
  <c r="I169" i="1"/>
  <c r="J169" i="1"/>
  <c r="F170" i="1"/>
  <c r="G170" i="1"/>
  <c r="H170" i="1"/>
  <c r="I170" i="1"/>
  <c r="J170" i="1"/>
  <c r="F173" i="1"/>
  <c r="G173" i="1"/>
  <c r="H173" i="1"/>
  <c r="I173" i="1"/>
  <c r="J173" i="1"/>
  <c r="F207" i="1"/>
  <c r="G207" i="1"/>
  <c r="H207" i="1"/>
  <c r="I207" i="1"/>
  <c r="J207" i="1"/>
  <c r="F208" i="1"/>
  <c r="G208" i="1"/>
  <c r="H208" i="1"/>
  <c r="I208" i="1"/>
  <c r="J208" i="1"/>
  <c r="F209" i="1"/>
  <c r="G209" i="1"/>
  <c r="H209" i="1"/>
  <c r="I209" i="1"/>
  <c r="J209" i="1"/>
  <c r="F222" i="1"/>
  <c r="G222" i="1"/>
  <c r="H222" i="1"/>
  <c r="I222" i="1"/>
  <c r="J222" i="1"/>
  <c r="F223" i="1"/>
  <c r="G223" i="1"/>
  <c r="H223" i="1"/>
  <c r="I223" i="1"/>
  <c r="J223" i="1"/>
  <c r="F224" i="1"/>
  <c r="G224" i="1"/>
  <c r="H224" i="1"/>
  <c r="I224" i="1"/>
  <c r="J224" i="1"/>
  <c r="F228" i="1"/>
  <c r="G228" i="1"/>
  <c r="H228" i="1"/>
  <c r="I228" i="1"/>
  <c r="J228" i="1"/>
  <c r="F229" i="1"/>
  <c r="G229" i="1"/>
  <c r="H229" i="1"/>
  <c r="I229" i="1"/>
  <c r="J229" i="1"/>
  <c r="F230" i="1"/>
  <c r="G230" i="1"/>
  <c r="H230" i="1"/>
  <c r="I230" i="1"/>
  <c r="J230" i="1"/>
  <c r="F231" i="1"/>
  <c r="G231" i="1"/>
  <c r="H231" i="1"/>
  <c r="I231" i="1"/>
  <c r="J231" i="1"/>
  <c r="F232" i="1"/>
  <c r="G232" i="1"/>
  <c r="H232" i="1"/>
  <c r="I232" i="1"/>
  <c r="J232" i="1"/>
  <c r="F233" i="1"/>
  <c r="G233" i="1"/>
  <c r="H233" i="1"/>
  <c r="I233" i="1"/>
  <c r="J233" i="1"/>
  <c r="C238" i="1"/>
  <c r="D238" i="1"/>
  <c r="F238" i="1"/>
  <c r="G238" i="1"/>
  <c r="H238" i="1"/>
  <c r="I238" i="1"/>
  <c r="J238" i="1"/>
  <c r="C239" i="1"/>
  <c r="D239" i="1"/>
  <c r="F239" i="1"/>
  <c r="G239" i="1"/>
  <c r="H239" i="1"/>
  <c r="I239" i="1"/>
  <c r="J239" i="1"/>
  <c r="C240" i="1"/>
  <c r="D240" i="1"/>
  <c r="F240" i="1"/>
  <c r="G240" i="1"/>
  <c r="H240" i="1"/>
  <c r="I240" i="1"/>
  <c r="J240" i="1"/>
  <c r="C243" i="1"/>
  <c r="D243" i="1"/>
  <c r="J243" i="1"/>
  <c r="C244" i="1"/>
  <c r="D244" i="1"/>
  <c r="J244" i="1"/>
  <c r="C245" i="1"/>
  <c r="D245" i="1"/>
  <c r="J245" i="1"/>
  <c r="C246" i="1"/>
  <c r="D246" i="1"/>
  <c r="J246" i="1"/>
  <c r="C247" i="1"/>
  <c r="D247" i="1"/>
  <c r="J247" i="1"/>
  <c r="C249" i="1"/>
  <c r="D249" i="1"/>
  <c r="J249" i="1"/>
  <c r="C250" i="1"/>
  <c r="D250" i="1"/>
  <c r="J250" i="1"/>
  <c r="C251" i="1"/>
  <c r="D251" i="1"/>
  <c r="J251" i="1"/>
  <c r="C252" i="1"/>
  <c r="D252" i="1"/>
  <c r="J252" i="1"/>
  <c r="C253" i="1"/>
  <c r="D253" i="1"/>
  <c r="J253" i="1"/>
  <c r="C255" i="1"/>
  <c r="D255" i="1"/>
  <c r="J255" i="1"/>
  <c r="C256" i="1"/>
  <c r="D256" i="1"/>
  <c r="J256" i="1"/>
  <c r="C257" i="1"/>
  <c r="D257" i="1"/>
  <c r="J257" i="1"/>
  <c r="C258" i="1"/>
  <c r="D258" i="1"/>
  <c r="J258" i="1"/>
  <c r="C259" i="1"/>
  <c r="D259" i="1"/>
  <c r="J259" i="1"/>
  <c r="C261" i="1"/>
  <c r="D261" i="1"/>
  <c r="J261" i="1"/>
  <c r="C262" i="1"/>
  <c r="D262" i="1"/>
  <c r="J262" i="1"/>
  <c r="C263" i="1"/>
  <c r="D263" i="1"/>
  <c r="J263" i="1"/>
  <c r="C264" i="1"/>
  <c r="D264" i="1"/>
  <c r="J264" i="1"/>
  <c r="C265" i="1"/>
  <c r="D265" i="1"/>
  <c r="J265" i="1"/>
  <c r="I270" i="1"/>
  <c r="J270" i="1"/>
  <c r="I271" i="1"/>
  <c r="J271" i="1"/>
  <c r="I272" i="1"/>
  <c r="J272" i="1"/>
  <c r="I274" i="1"/>
  <c r="J274" i="1"/>
  <c r="I275" i="1"/>
  <c r="J275" i="1"/>
  <c r="I276" i="1"/>
  <c r="J276" i="1"/>
  <c r="I277" i="1"/>
  <c r="J277" i="1"/>
  <c r="C283" i="1"/>
  <c r="E284" i="1"/>
  <c r="F284" i="1"/>
  <c r="G284" i="1"/>
  <c r="H284" i="1"/>
  <c r="I284" i="1"/>
  <c r="J284" i="1"/>
  <c r="E286" i="1"/>
  <c r="F286" i="1"/>
  <c r="G286" i="1"/>
  <c r="H286" i="1"/>
  <c r="I286" i="1"/>
  <c r="J286" i="1"/>
  <c r="E287" i="1"/>
  <c r="F287" i="1"/>
  <c r="G287" i="1"/>
  <c r="H287" i="1"/>
  <c r="I287" i="1"/>
  <c r="J287" i="1"/>
  <c r="E289" i="1"/>
  <c r="F289" i="1"/>
  <c r="G289" i="1"/>
  <c r="H289" i="1"/>
  <c r="I289" i="1"/>
  <c r="J289" i="1"/>
  <c r="E290" i="1"/>
  <c r="F290" i="1"/>
  <c r="G290" i="1"/>
  <c r="H290" i="1"/>
  <c r="I290" i="1"/>
  <c r="J29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Sergio</author>
  </authors>
  <commentList>
    <comment ref="B57" authorId="0" shapeId="0" xr:uid="{ED2A380E-27E4-4D4B-A0B0-82B0662D411D}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Includes Loss on disposition of discontinued operations and Net income attributable to noncontrolling interests</t>
        </r>
      </text>
    </comment>
  </commentList>
</comments>
</file>

<file path=xl/sharedStrings.xml><?xml version="1.0" encoding="utf-8"?>
<sst xmlns="http://schemas.openxmlformats.org/spreadsheetml/2006/main" count="283" uniqueCount="213">
  <si>
    <t>($) in millions, except per share data</t>
  </si>
  <si>
    <t>General Inputs</t>
  </si>
  <si>
    <t>Company name</t>
  </si>
  <si>
    <t>Ticker</t>
  </si>
  <si>
    <t>Current share price</t>
  </si>
  <si>
    <t>Latest closing share price date</t>
  </si>
  <si>
    <t>Circuit breaker</t>
  </si>
  <si>
    <t>OFF</t>
  </si>
  <si>
    <t>Financial Data/Assumptions</t>
  </si>
  <si>
    <t>LTM EBITDA</t>
  </si>
  <si>
    <t>Gross debt (input as -)</t>
  </si>
  <si>
    <t>Cash</t>
  </si>
  <si>
    <t>Minimum cash desired</t>
  </si>
  <si>
    <t>EV/LTM EBITDA multiple at exit</t>
  </si>
  <si>
    <t>Uses of Funds</t>
  </si>
  <si>
    <t>Buyout of equity</t>
  </si>
  <si>
    <t>Refinancing of oldco debt</t>
  </si>
  <si>
    <t>Fees (transaction and financing)</t>
  </si>
  <si>
    <t>Total uses</t>
  </si>
  <si>
    <t>Initial Valuation</t>
  </si>
  <si>
    <t>Valuation approach</t>
  </si>
  <si>
    <t>Explicit EBITDA</t>
  </si>
  <si>
    <t>Explicit offer/share</t>
  </si>
  <si>
    <t>EV/LTM EBITDA</t>
  </si>
  <si>
    <t>Enterprise value</t>
  </si>
  <si>
    <t>Less: gross debt (latest filing)</t>
  </si>
  <si>
    <t>Plus: cash (latest filing)</t>
  </si>
  <si>
    <t>Offer value</t>
  </si>
  <si>
    <t>Diluted shares outstanding</t>
  </si>
  <si>
    <t>Offer value/per share</t>
  </si>
  <si>
    <t>% premium/(discount)</t>
  </si>
  <si>
    <t>News Corporation</t>
  </si>
  <si>
    <t>NWS</t>
  </si>
  <si>
    <t>LBO Model for News Corporation</t>
  </si>
  <si>
    <t>Sources of Funds</t>
  </si>
  <si>
    <t>EBITDA turns</t>
  </si>
  <si>
    <t>$ investment</t>
  </si>
  <si>
    <t>Excess cash</t>
  </si>
  <si>
    <t>Revolver</t>
  </si>
  <si>
    <t>Term loan A</t>
  </si>
  <si>
    <t>Term loan B</t>
  </si>
  <si>
    <t>Senior note</t>
  </si>
  <si>
    <t>Sub note</t>
  </si>
  <si>
    <t>Preferred stock</t>
  </si>
  <si>
    <t>Management rollover</t>
  </si>
  <si>
    <t>Sponsor equity</t>
  </si>
  <si>
    <t>Total sources</t>
  </si>
  <si>
    <t>Fees</t>
  </si>
  <si>
    <t>% fees</t>
  </si>
  <si>
    <t>Fee</t>
  </si>
  <si>
    <t>Term</t>
  </si>
  <si>
    <t>Fee amort/year</t>
  </si>
  <si>
    <t>Financing fees</t>
  </si>
  <si>
    <t>Total financing fees</t>
  </si>
  <si>
    <t>% of offer value</t>
  </si>
  <si>
    <t>Transaction fees</t>
  </si>
  <si>
    <t>Income Statement</t>
  </si>
  <si>
    <t>Revenue</t>
  </si>
  <si>
    <t>Costs of sales (enter as -)</t>
  </si>
  <si>
    <t>Gross profit</t>
  </si>
  <si>
    <t>Selling, general, and administrative (enter as -)</t>
  </si>
  <si>
    <t>Depreciation and amortization (enter as -)</t>
  </si>
  <si>
    <t>Operating profit (EBIT)</t>
  </si>
  <si>
    <t>Impairment and restructuring charges (enter as -)</t>
  </si>
  <si>
    <t>Equity earnings of affiliates</t>
  </si>
  <si>
    <t>Interest expense (enter as -)</t>
  </si>
  <si>
    <t>Interest income</t>
  </si>
  <si>
    <t>Other</t>
  </si>
  <si>
    <t>Pre-tax profit</t>
  </si>
  <si>
    <t>Tax (enter as -)</t>
  </si>
  <si>
    <t>Net income</t>
  </si>
  <si>
    <t>Growth rates and margins</t>
  </si>
  <si>
    <t>Revenue growth</t>
  </si>
  <si>
    <t>Gross profit as % of sales</t>
  </si>
  <si>
    <t>SG&amp;A margin</t>
  </si>
  <si>
    <t>Tax rate</t>
  </si>
  <si>
    <t>EBITDA Reconciliation</t>
  </si>
  <si>
    <t>Stock based compensation</t>
  </si>
  <si>
    <t>EBITDA</t>
  </si>
  <si>
    <t>EBIT (GAAP)</t>
  </si>
  <si>
    <t>Depreciation and amortization</t>
  </si>
  <si>
    <t>Deal related D&amp;A</t>
  </si>
  <si>
    <t>Deal related D&amp;A (enter as -)</t>
  </si>
  <si>
    <t>Impairment and restructuring charges</t>
  </si>
  <si>
    <t>($) in millions</t>
  </si>
  <si>
    <t>Forecast</t>
  </si>
  <si>
    <t>Historical</t>
  </si>
  <si>
    <t>Working Capital</t>
  </si>
  <si>
    <t>Accounts receivable, EOP</t>
  </si>
  <si>
    <t>AR as % of sales</t>
  </si>
  <si>
    <t>Other current assets as % of sales</t>
  </si>
  <si>
    <t>Accounts payable, EOP</t>
  </si>
  <si>
    <t>AP as % of cost of sales</t>
  </si>
  <si>
    <t>% of sales</t>
  </si>
  <si>
    <t>Net working capital</t>
  </si>
  <si>
    <t>Other assets, EOP</t>
  </si>
  <si>
    <t>Deferred revenue, EOP</t>
  </si>
  <si>
    <t>Long Lived Assets</t>
  </si>
  <si>
    <t>PP&amp;E</t>
  </si>
  <si>
    <t>Capex</t>
  </si>
  <si>
    <t>Depreciation</t>
  </si>
  <si>
    <t>Capex as % of revenue</t>
  </si>
  <si>
    <t>Depreciation as % of capex</t>
  </si>
  <si>
    <t>Inventories, EOP</t>
  </si>
  <si>
    <t>Inventories as % of cost of sales</t>
  </si>
  <si>
    <t>Intangible assets</t>
  </si>
  <si>
    <t>Purchases</t>
  </si>
  <si>
    <t>Amortization</t>
  </si>
  <si>
    <t>Other liabilities</t>
  </si>
  <si>
    <t>Cash Flow Statement</t>
  </si>
  <si>
    <t>Changes in net working capital</t>
  </si>
  <si>
    <t>Other assets and liabilities</t>
  </si>
  <si>
    <t>Changes in deffered tax liabilities</t>
  </si>
  <si>
    <t>Addback of PIK interest</t>
  </si>
  <si>
    <t>Cash from operating activities</t>
  </si>
  <si>
    <t>Purchases of intangible assets</t>
  </si>
  <si>
    <t>Cash from investing activities</t>
  </si>
  <si>
    <t>Required debt principal payments</t>
  </si>
  <si>
    <t>Preferred dividend (cash)</t>
  </si>
  <si>
    <t>Pre-revolver cash flows</t>
  </si>
  <si>
    <t>Post-revolver cash flows</t>
  </si>
  <si>
    <t>Discretionary term A paydown</t>
  </si>
  <si>
    <t>Discretionary term B paydown</t>
  </si>
  <si>
    <t>Net change in cash during period</t>
  </si>
  <si>
    <t>SBC as % of opex</t>
  </si>
  <si>
    <t>Cash and Debt</t>
  </si>
  <si>
    <t>Cash, BOP</t>
  </si>
  <si>
    <t>Increases/(decreases)</t>
  </si>
  <si>
    <t>Cash, EOP</t>
  </si>
  <si>
    <t>Interest rate on cash</t>
  </si>
  <si>
    <t>Less: minimum cash desired</t>
  </si>
  <si>
    <t>Equals: excess cash at BOP</t>
  </si>
  <si>
    <t>Plus: free cash flows generated during period</t>
  </si>
  <si>
    <t>Cash available/(needed) to paydown/(draw from) revolver</t>
  </si>
  <si>
    <t>Revolver, BOP</t>
  </si>
  <si>
    <t>Revolver, EOP</t>
  </si>
  <si>
    <t>Maximum availability</t>
  </si>
  <si>
    <t>Compliance check</t>
  </si>
  <si>
    <t>%AR</t>
  </si>
  <si>
    <t>% Other Assets</t>
  </si>
  <si>
    <t>Term Loan A</t>
  </si>
  <si>
    <t>Term loan A, BOP</t>
  </si>
  <si>
    <t>Mandatory amortization $</t>
  </si>
  <si>
    <t>Term loan A, EOP</t>
  </si>
  <si>
    <t>Mandatory paydown (% of original)</t>
  </si>
  <si>
    <t>Cash sweep</t>
  </si>
  <si>
    <t>Cash sweep (paydown from excess cash flows)</t>
  </si>
  <si>
    <t>% of available cash used</t>
  </si>
  <si>
    <t>Term Loan B</t>
  </si>
  <si>
    <t>Term loan B, BOP</t>
  </si>
  <si>
    <t>Term loan B, EOP</t>
  </si>
  <si>
    <t>Cash available for cash sweep</t>
  </si>
  <si>
    <t>Senior Note</t>
  </si>
  <si>
    <t>Senior note, BOP</t>
  </si>
  <si>
    <t>Senior note, EOP</t>
  </si>
  <si>
    <t>Sub Note</t>
  </si>
  <si>
    <t>Sub note, BOP</t>
  </si>
  <si>
    <t>PIK interest</t>
  </si>
  <si>
    <t>Sub note, EOP</t>
  </si>
  <si>
    <t>PIK rate</t>
  </si>
  <si>
    <t>Cash rate</t>
  </si>
  <si>
    <t>Preferred Stock</t>
  </si>
  <si>
    <t>Preferred stock, BOP</t>
  </si>
  <si>
    <t>PIK accrual</t>
  </si>
  <si>
    <t>Preferred stock, EOP</t>
  </si>
  <si>
    <t>Cash dividend</t>
  </si>
  <si>
    <t>Capitalized Financing Fees</t>
  </si>
  <si>
    <t>Capitalized financing fees, BOP</t>
  </si>
  <si>
    <t>Capitalized financing fees, EOP</t>
  </si>
  <si>
    <t>Mandatory paydown $</t>
  </si>
  <si>
    <t>Interest Expense</t>
  </si>
  <si>
    <t>3-Month LIBOR Rate (bps)</t>
  </si>
  <si>
    <t>LIBOR Spread</t>
  </si>
  <si>
    <t>LIBOR Floor</t>
  </si>
  <si>
    <t>Coupon Rate</t>
  </si>
  <si>
    <t>Sub Note - Cash Interest</t>
  </si>
  <si>
    <t>Sub Note - PIK Interest</t>
  </si>
  <si>
    <t>Exit Valuation</t>
  </si>
  <si>
    <t>EBITDA multiple at exit</t>
  </si>
  <si>
    <t>EBITDA at exit</t>
  </si>
  <si>
    <t>Net Debt:</t>
  </si>
  <si>
    <t>Equity value</t>
  </si>
  <si>
    <t>Initial equity inv.</t>
  </si>
  <si>
    <t>% ownership</t>
  </si>
  <si>
    <t>Fully diluted</t>
  </si>
  <si>
    <t>Mgmt equity</t>
  </si>
  <si>
    <t>Step</t>
  </si>
  <si>
    <t>Returns</t>
  </si>
  <si>
    <t>Cash-on-cash</t>
  </si>
  <si>
    <t>IRR</t>
  </si>
  <si>
    <t>Initial</t>
  </si>
  <si>
    <t>Sub Note at exit EBITDA multiple of:</t>
  </si>
  <si>
    <r>
      <t xml:space="preserve">Preferred Stock </t>
    </r>
    <r>
      <rPr>
        <sz val="11"/>
        <color theme="1"/>
        <rFont val="Calibri"/>
        <family val="2"/>
        <scheme val="minor"/>
      </rPr>
      <t>at exit EBITDA multiple of:</t>
    </r>
  </si>
  <si>
    <r>
      <t>Management Equity</t>
    </r>
    <r>
      <rPr>
        <sz val="11"/>
        <color theme="1"/>
        <rFont val="Calibri"/>
        <family val="2"/>
        <scheme val="minor"/>
      </rPr>
      <t xml:space="preserve"> at exit EBITDA multiple of:</t>
    </r>
  </si>
  <si>
    <r>
      <t xml:space="preserve">Sponsor's Equity </t>
    </r>
    <r>
      <rPr>
        <sz val="11"/>
        <color theme="1"/>
        <rFont val="Calibri"/>
        <family val="2"/>
        <scheme val="minor"/>
      </rPr>
      <t>at exit EBITDA multiple of:</t>
    </r>
  </si>
  <si>
    <t>Financing</t>
  </si>
  <si>
    <t>% of Total Capital</t>
  </si>
  <si>
    <t>% FD Ownership</t>
  </si>
  <si>
    <t>Expected IRR</t>
  </si>
  <si>
    <t>Cash-on-Cash</t>
  </si>
  <si>
    <t>Mgmt Rollover</t>
  </si>
  <si>
    <t>Sponsor Equity</t>
  </si>
  <si>
    <t>Total</t>
  </si>
  <si>
    <t>Sensitivity Analysis</t>
  </si>
  <si>
    <t>Actual</t>
  </si>
  <si>
    <t>Sponsor hurdle rate (minimum IRR)</t>
  </si>
  <si>
    <t>Offer value per share</t>
  </si>
  <si>
    <t>% Premium/(discount)</t>
  </si>
  <si>
    <t>EV/LTM EBITDA multiple</t>
  </si>
  <si>
    <t>Offer Price per Share at Various Sponsor Hurdle Rates</t>
  </si>
  <si>
    <t>Goodwill</t>
  </si>
  <si>
    <t>Summary at 7.00x Exit EBITDA Multiple</t>
  </si>
  <si>
    <t>Assumed Exit in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</si>
</sst>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[$$]#,##0.00;\([$$]#,##0.00\);&quot;–&quot;;@"/>
    <numFmt numFmtId="165" formatCode="#,##0.0;\(#,##0.0\);&quot;–&quot;;@"/>
    <numFmt numFmtId="166" formatCode="0.00\x;\(0.00\x\);&quot;–&quot;"/>
    <numFmt numFmtId="167" formatCode="&quot;Approach&quot;\ 0"/>
    <numFmt numFmtId="168" formatCode="#,##0;\(#,##0\);&quot;–&quot;;@"/>
    <numFmt numFmtId="169" formatCode="#,##0.0%;\(#,##0.0%\);&quot;–&quot;;@"/>
    <numFmt numFmtId="170" formatCode="&quot;$&quot;#,##0.00_);\(&quot;$&quot;#,##0.00\);@_)"/>
    <numFmt numFmtId="171" formatCode="#,##0.0_);\(#,##0.0\)"/>
    <numFmt numFmtId="172" formatCode="0\ &quot;years&quot;"/>
    <numFmt numFmtId="173" formatCode="[$$]#,##0;\([$$]#,##0\);&quot;–&quot;;@"/>
    <numFmt numFmtId="174" formatCode="0.0"/>
    <numFmt numFmtId="175" formatCode="&quot;L+ &quot;#,##0.0%;\(#,##0.0%\);&quot;–&quot;;@"/>
    <numFmt numFmtId="176" formatCode="0.0\x_);\(0.0\x\);@_)"/>
    <numFmt numFmtId="177" formatCode="0.0%"/>
    <numFmt numFmtId="178" formatCode="0.00\x_);\(0.00\x\);@_)"/>
  </numFmts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8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008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161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/>
    <xf numFmtId="0" fontId="3" fillId="3" borderId="0" xfId="0" applyFont="1" applyFill="1"/>
    <xf numFmtId="0" fontId="2" fillId="2" borderId="1" xfId="0" applyFont="1" applyFill="1" applyBorder="1"/>
    <xf numFmtId="0" fontId="0" fillId="2" borderId="1" xfId="0" applyFill="1" applyBorder="1"/>
    <xf numFmtId="0" fontId="0" fillId="2" borderId="0" xfId="0" applyFill="1" applyAlignment="1">
      <alignment horizontal="right"/>
    </xf>
    <xf numFmtId="14" fontId="4" fillId="2" borderId="0" xfId="0" applyNumberFormat="1" applyFont="1" applyFill="1" applyAlignment="1">
      <alignment horizontal="right"/>
    </xf>
    <xf numFmtId="165" fontId="5" fillId="2" borderId="0" xfId="0" applyNumberFormat="1" applyFont="1" applyFill="1"/>
    <xf numFmtId="165" fontId="4" fillId="2" borderId="0" xfId="0" applyNumberFormat="1" applyFont="1" applyFill="1"/>
    <xf numFmtId="166" fontId="4" fillId="2" borderId="0" xfId="0" applyNumberFormat="1" applyFont="1" applyFill="1"/>
    <xf numFmtId="165" fontId="0" fillId="2" borderId="0" xfId="0" applyNumberFormat="1" applyFill="1"/>
    <xf numFmtId="0" fontId="2" fillId="2" borderId="2" xfId="0" applyFont="1" applyFill="1" applyBorder="1"/>
    <xf numFmtId="0" fontId="0" fillId="2" borderId="2" xfId="0" applyFill="1" applyBorder="1"/>
    <xf numFmtId="165" fontId="2" fillId="2" borderId="2" xfId="0" applyNumberFormat="1" applyFont="1" applyFill="1" applyBorder="1"/>
    <xf numFmtId="167" fontId="2" fillId="4" borderId="3" xfId="0" applyNumberFormat="1" applyFont="1" applyFill="1" applyBorder="1" applyAlignment="1">
      <alignment horizontal="center"/>
    </xf>
    <xf numFmtId="167" fontId="2" fillId="2" borderId="0" xfId="0" applyNumberFormat="1" applyFont="1" applyFill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165" fontId="0" fillId="2" borderId="3" xfId="0" applyNumberFormat="1" applyFill="1" applyBorder="1" applyAlignment="1">
      <alignment horizontal="center"/>
    </xf>
    <xf numFmtId="166" fontId="0" fillId="2" borderId="5" xfId="0" applyNumberFormat="1" applyFill="1" applyBorder="1" applyAlignment="1">
      <alignment horizontal="center"/>
    </xf>
    <xf numFmtId="166" fontId="0" fillId="2" borderId="0" xfId="0" applyNumberFormat="1" applyFill="1"/>
    <xf numFmtId="166" fontId="5" fillId="2" borderId="0" xfId="0" applyNumberFormat="1" applyFont="1" applyFill="1"/>
    <xf numFmtId="165" fontId="2" fillId="2" borderId="6" xfId="0" applyNumberFormat="1" applyFont="1" applyFill="1" applyBorder="1" applyAlignment="1">
      <alignment horizontal="center"/>
    </xf>
    <xf numFmtId="165" fontId="8" fillId="2" borderId="2" xfId="0" applyNumberFormat="1" applyFont="1" applyFill="1" applyBorder="1"/>
    <xf numFmtId="0" fontId="0" fillId="2" borderId="5" xfId="0" applyFill="1" applyBorder="1" applyAlignment="1">
      <alignment horizontal="center"/>
    </xf>
    <xf numFmtId="168" fontId="0" fillId="2" borderId="0" xfId="0" applyNumberFormat="1" applyFill="1"/>
    <xf numFmtId="165" fontId="0" fillId="2" borderId="5" xfId="0" applyNumberFormat="1" applyFill="1" applyBorder="1" applyAlignment="1">
      <alignment horizontal="center"/>
    </xf>
    <xf numFmtId="165" fontId="9" fillId="2" borderId="0" xfId="0" applyNumberFormat="1" applyFont="1" applyFill="1"/>
    <xf numFmtId="168" fontId="0" fillId="2" borderId="5" xfId="0" applyNumberFormat="1" applyFill="1" applyBorder="1" applyAlignment="1">
      <alignment horizontal="center"/>
    </xf>
    <xf numFmtId="164" fontId="2" fillId="2" borderId="6" xfId="0" applyNumberFormat="1" applyFont="1" applyFill="1" applyBorder="1" applyAlignment="1">
      <alignment horizontal="center"/>
    </xf>
    <xf numFmtId="164" fontId="2" fillId="2" borderId="2" xfId="0" applyNumberFormat="1" applyFont="1" applyFill="1" applyBorder="1"/>
    <xf numFmtId="0" fontId="7" fillId="2" borderId="0" xfId="0" applyFont="1" applyFill="1"/>
    <xf numFmtId="169" fontId="0" fillId="2" borderId="7" xfId="0" applyNumberFormat="1" applyFill="1" applyBorder="1" applyAlignment="1">
      <alignment horizontal="center"/>
    </xf>
    <xf numFmtId="169" fontId="0" fillId="2" borderId="0" xfId="0" applyNumberFormat="1" applyFill="1"/>
    <xf numFmtId="169" fontId="5" fillId="2" borderId="0" xfId="0" applyNumberFormat="1" applyFont="1" applyFill="1"/>
    <xf numFmtId="170" fontId="4" fillId="2" borderId="0" xfId="0" applyNumberFormat="1" applyFont="1" applyFill="1" applyAlignment="1">
      <alignment horizontal="right"/>
    </xf>
    <xf numFmtId="164" fontId="8" fillId="2" borderId="2" xfId="0" applyNumberFormat="1" applyFont="1" applyFill="1" applyBorder="1"/>
    <xf numFmtId="169" fontId="4" fillId="2" borderId="0" xfId="0" applyNumberFormat="1" applyFont="1" applyFill="1"/>
    <xf numFmtId="168" fontId="4" fillId="2" borderId="0" xfId="0" applyNumberFormat="1" applyFont="1" applyFill="1"/>
    <xf numFmtId="0" fontId="11" fillId="2" borderId="0" xfId="0" applyFont="1" applyFill="1" applyAlignment="1">
      <alignment horizontal="right"/>
    </xf>
    <xf numFmtId="171" fontId="5" fillId="2" borderId="0" xfId="0" applyNumberFormat="1" applyFont="1" applyFill="1"/>
    <xf numFmtId="166" fontId="2" fillId="2" borderId="2" xfId="0" applyNumberFormat="1" applyFont="1" applyFill="1" applyBorder="1"/>
    <xf numFmtId="172" fontId="4" fillId="2" borderId="0" xfId="0" applyNumberFormat="1" applyFont="1" applyFill="1"/>
    <xf numFmtId="165" fontId="0" fillId="2" borderId="0" xfId="0" applyNumberFormat="1" applyFill="1" applyAlignment="1">
      <alignment horizontal="right"/>
    </xf>
    <xf numFmtId="172" fontId="0" fillId="2" borderId="0" xfId="0" applyNumberFormat="1" applyFill="1"/>
    <xf numFmtId="169" fontId="10" fillId="2" borderId="2" xfId="0" applyNumberFormat="1" applyFont="1" applyFill="1" applyBorder="1"/>
    <xf numFmtId="173" fontId="4" fillId="2" borderId="0" xfId="0" applyNumberFormat="1" applyFont="1" applyFill="1"/>
    <xf numFmtId="173" fontId="4" fillId="5" borderId="0" xfId="0" applyNumberFormat="1" applyFont="1" applyFill="1"/>
    <xf numFmtId="173" fontId="0" fillId="2" borderId="0" xfId="0" applyNumberFormat="1" applyFill="1"/>
    <xf numFmtId="168" fontId="8" fillId="2" borderId="2" xfId="0" applyNumberFormat="1" applyFont="1" applyFill="1" applyBorder="1"/>
    <xf numFmtId="168" fontId="2" fillId="2" borderId="2" xfId="0" applyNumberFormat="1" applyFont="1" applyFill="1" applyBorder="1"/>
    <xf numFmtId="0" fontId="2" fillId="2" borderId="8" xfId="0" applyFont="1" applyFill="1" applyBorder="1"/>
    <xf numFmtId="168" fontId="8" fillId="2" borderId="8" xfId="0" applyNumberFormat="1" applyFont="1" applyFill="1" applyBorder="1"/>
    <xf numFmtId="168" fontId="5" fillId="2" borderId="0" xfId="0" applyNumberFormat="1" applyFont="1" applyFill="1"/>
    <xf numFmtId="0" fontId="2" fillId="2" borderId="0" xfId="0" applyFont="1" applyFill="1"/>
    <xf numFmtId="174" fontId="4" fillId="2" borderId="0" xfId="0" applyNumberFormat="1" applyFont="1" applyFill="1"/>
    <xf numFmtId="0" fontId="14" fillId="2" borderId="0" xfId="0" applyFont="1" applyFill="1"/>
    <xf numFmtId="0" fontId="1" fillId="2" borderId="0" xfId="0" applyFont="1" applyFill="1" applyAlignment="1">
      <alignment horizontal="center"/>
    </xf>
    <xf numFmtId="0" fontId="14" fillId="3" borderId="0" xfId="0" applyFont="1" applyFill="1"/>
    <xf numFmtId="0" fontId="1" fillId="3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5" fillId="7" borderId="0" xfId="0" applyFont="1" applyFill="1"/>
    <xf numFmtId="0" fontId="16" fillId="7" borderId="0" xfId="0" applyFont="1" applyFill="1"/>
    <xf numFmtId="0" fontId="16" fillId="7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169" fontId="7" fillId="2" borderId="0" xfId="0" applyNumberFormat="1" applyFont="1" applyFill="1"/>
    <xf numFmtId="169" fontId="17" fillId="2" borderId="0" xfId="0" applyNumberFormat="1" applyFont="1" applyFill="1"/>
    <xf numFmtId="168" fontId="2" fillId="2" borderId="0" xfId="0" applyNumberFormat="1" applyFont="1" applyFill="1"/>
    <xf numFmtId="168" fontId="10" fillId="2" borderId="0" xfId="0" applyNumberFormat="1" applyFont="1" applyFill="1"/>
    <xf numFmtId="0" fontId="16" fillId="4" borderId="0" xfId="0" applyFont="1" applyFill="1" applyAlignment="1">
      <alignment horizontal="center"/>
    </xf>
    <xf numFmtId="0" fontId="16" fillId="7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left" indent="1"/>
    </xf>
    <xf numFmtId="0" fontId="20" fillId="2" borderId="0" xfId="0" applyFont="1" applyFill="1" applyAlignment="1">
      <alignment horizontal="left" indent="1"/>
    </xf>
    <xf numFmtId="0" fontId="20" fillId="2" borderId="0" xfId="0" applyFont="1" applyFill="1"/>
    <xf numFmtId="168" fontId="2" fillId="2" borderId="8" xfId="0" applyNumberFormat="1" applyFont="1" applyFill="1" applyBorder="1"/>
    <xf numFmtId="168" fontId="20" fillId="2" borderId="0" xfId="0" applyNumberFormat="1" applyFont="1" applyFill="1"/>
    <xf numFmtId="0" fontId="21" fillId="2" borderId="0" xfId="0" applyFont="1" applyFill="1"/>
    <xf numFmtId="0" fontId="21" fillId="2" borderId="0" xfId="0" applyFont="1" applyFill="1" applyAlignment="1">
      <alignment horizontal="right"/>
    </xf>
    <xf numFmtId="168" fontId="4" fillId="2" borderId="5" xfId="0" applyNumberFormat="1" applyFont="1" applyFill="1" applyBorder="1" applyAlignment="1">
      <alignment horizontal="center"/>
    </xf>
    <xf numFmtId="0" fontId="22" fillId="7" borderId="0" xfId="0" applyFont="1" applyFill="1"/>
    <xf numFmtId="165" fontId="0" fillId="2" borderId="6" xfId="0" applyNumberFormat="1" applyFill="1" applyBorder="1"/>
    <xf numFmtId="168" fontId="5" fillId="2" borderId="6" xfId="0" applyNumberFormat="1" applyFont="1" applyFill="1" applyBorder="1"/>
    <xf numFmtId="0" fontId="21" fillId="2" borderId="2" xfId="0" applyFont="1" applyFill="1" applyBorder="1" applyAlignment="1">
      <alignment horizontal="right"/>
    </xf>
    <xf numFmtId="0" fontId="7" fillId="2" borderId="0" xfId="0" applyFont="1" applyFill="1" applyAlignment="1">
      <alignment horizontal="right"/>
    </xf>
    <xf numFmtId="168" fontId="0" fillId="2" borderId="6" xfId="0" applyNumberFormat="1" applyFill="1" applyBorder="1"/>
    <xf numFmtId="168" fontId="7" fillId="2" borderId="0" xfId="0" applyNumberFormat="1" applyFont="1" applyFill="1"/>
    <xf numFmtId="0" fontId="17" fillId="2" borderId="0" xfId="0" applyFont="1" applyFill="1"/>
    <xf numFmtId="175" fontId="0" fillId="2" borderId="0" xfId="0" applyNumberFormat="1" applyFill="1"/>
    <xf numFmtId="0" fontId="19" fillId="3" borderId="0" xfId="0" applyFont="1" applyFill="1"/>
    <xf numFmtId="0" fontId="23" fillId="3" borderId="0" xfId="0" applyFont="1" applyFill="1"/>
    <xf numFmtId="0" fontId="0" fillId="2" borderId="0" xfId="0" applyFill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166" fontId="0" fillId="2" borderId="0" xfId="0" applyNumberFormat="1" applyFill="1" applyAlignment="1">
      <alignment horizontal="left" indent="1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168" fontId="15" fillId="2" borderId="0" xfId="0" applyNumberFormat="1" applyFont="1" applyFill="1"/>
    <xf numFmtId="168" fontId="0" fillId="2" borderId="12" xfId="0" applyNumberFormat="1" applyFill="1" applyBorder="1" applyAlignment="1">
      <alignment horizontal="center"/>
    </xf>
    <xf numFmtId="168" fontId="0" fillId="2" borderId="14" xfId="0" applyNumberFormat="1" applyFill="1" applyBorder="1" applyAlignment="1">
      <alignment horizontal="center"/>
    </xf>
    <xf numFmtId="169" fontId="0" fillId="2" borderId="0" xfId="0" applyNumberFormat="1" applyFill="1" applyBorder="1" applyAlignment="1">
      <alignment horizontal="center"/>
    </xf>
    <xf numFmtId="169" fontId="0" fillId="2" borderId="13" xfId="0" applyNumberFormat="1" applyFill="1" applyBorder="1" applyAlignment="1">
      <alignment horizontal="center"/>
    </xf>
    <xf numFmtId="169" fontId="0" fillId="2" borderId="1" xfId="0" applyNumberFormat="1" applyFill="1" applyBorder="1" applyAlignment="1">
      <alignment horizontal="center"/>
    </xf>
    <xf numFmtId="169" fontId="0" fillId="2" borderId="15" xfId="0" applyNumberForma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169" fontId="0" fillId="2" borderId="18" xfId="0" applyNumberFormat="1" applyFill="1" applyBorder="1" applyAlignment="1">
      <alignment horizontal="center"/>
    </xf>
    <xf numFmtId="178" fontId="0" fillId="2" borderId="0" xfId="0" applyNumberFormat="1" applyFill="1" applyAlignment="1">
      <alignment horizontal="center"/>
    </xf>
    <xf numFmtId="176" fontId="0" fillId="2" borderId="0" xfId="0" applyNumberFormat="1" applyFill="1" applyAlignment="1">
      <alignment horizontal="center"/>
    </xf>
    <xf numFmtId="168" fontId="0" fillId="2" borderId="0" xfId="0" applyNumberFormat="1" applyFill="1" applyAlignment="1">
      <alignment horizontal="center"/>
    </xf>
    <xf numFmtId="37" fontId="0" fillId="2" borderId="0" xfId="0" applyNumberFormat="1" applyFill="1" applyAlignment="1">
      <alignment horizontal="center"/>
    </xf>
    <xf numFmtId="168" fontId="9" fillId="2" borderId="0" xfId="0" applyNumberFormat="1" applyFont="1" applyFill="1" applyAlignment="1">
      <alignment horizontal="center"/>
    </xf>
    <xf numFmtId="168" fontId="5" fillId="2" borderId="0" xfId="0" applyNumberFormat="1" applyFont="1" applyFill="1" applyAlignment="1">
      <alignment horizontal="center"/>
    </xf>
    <xf numFmtId="168" fontId="4" fillId="2" borderId="0" xfId="0" applyNumberFormat="1" applyFont="1" applyFill="1" applyAlignment="1">
      <alignment horizontal="center"/>
    </xf>
    <xf numFmtId="168" fontId="8" fillId="2" borderId="0" xfId="0" applyNumberFormat="1" applyFont="1" applyFill="1" applyAlignment="1">
      <alignment horizontal="center"/>
    </xf>
    <xf numFmtId="168" fontId="24" fillId="2" borderId="0" xfId="0" applyNumberFormat="1" applyFont="1" applyFill="1" applyAlignment="1">
      <alignment horizontal="center"/>
    </xf>
    <xf numFmtId="168" fontId="0" fillId="4" borderId="0" xfId="0" applyNumberFormat="1" applyFill="1" applyAlignment="1">
      <alignment horizontal="center"/>
    </xf>
    <xf numFmtId="168" fontId="0" fillId="2" borderId="0" xfId="0" applyNumberFormat="1" applyFont="1" applyFill="1" applyAlignment="1">
      <alignment horizontal="center"/>
    </xf>
    <xf numFmtId="168" fontId="5" fillId="4" borderId="0" xfId="0" applyNumberFormat="1" applyFont="1" applyFill="1" applyAlignment="1">
      <alignment horizontal="center"/>
    </xf>
    <xf numFmtId="168" fontId="4" fillId="4" borderId="0" xfId="0" applyNumberFormat="1" applyFont="1" applyFill="1" applyAlignment="1">
      <alignment horizontal="center"/>
    </xf>
    <xf numFmtId="9" fontId="4" fillId="2" borderId="0" xfId="0" applyNumberFormat="1" applyFont="1" applyFill="1"/>
    <xf numFmtId="169" fontId="2" fillId="2" borderId="2" xfId="0" applyNumberFormat="1" applyFont="1" applyFill="1" applyBorder="1"/>
    <xf numFmtId="178" fontId="0" fillId="2" borderId="0" xfId="0" applyNumberFormat="1" applyFill="1" applyAlignment="1">
      <alignment horizontal="right"/>
    </xf>
    <xf numFmtId="169" fontId="0" fillId="2" borderId="0" xfId="1" applyNumberFormat="1" applyFont="1" applyFill="1" applyAlignment="1">
      <alignment horizontal="center"/>
    </xf>
    <xf numFmtId="169" fontId="2" fillId="2" borderId="0" xfId="1" applyNumberFormat="1" applyFont="1" applyFill="1" applyAlignment="1">
      <alignment horizontal="center"/>
    </xf>
    <xf numFmtId="169" fontId="0" fillId="2" borderId="3" xfId="0" applyNumberFormat="1" applyFill="1" applyBorder="1" applyAlignment="1">
      <alignment horizontal="center"/>
    </xf>
    <xf numFmtId="166" fontId="2" fillId="4" borderId="6" xfId="0" applyNumberFormat="1" applyFont="1" applyFill="1" applyBorder="1"/>
    <xf numFmtId="164" fontId="0" fillId="2" borderId="5" xfId="0" applyNumberFormat="1" applyFill="1" applyBorder="1" applyAlignment="1">
      <alignment horizontal="center"/>
    </xf>
    <xf numFmtId="169" fontId="7" fillId="2" borderId="5" xfId="0" applyNumberFormat="1" applyFont="1" applyFill="1" applyBorder="1" applyAlignment="1">
      <alignment horizontal="center"/>
    </xf>
    <xf numFmtId="168" fontId="2" fillId="2" borderId="5" xfId="0" applyNumberFormat="1" applyFont="1" applyFill="1" applyBorder="1" applyAlignment="1">
      <alignment horizontal="center"/>
    </xf>
    <xf numFmtId="166" fontId="7" fillId="2" borderId="7" xfId="0" applyNumberFormat="1" applyFont="1" applyFill="1" applyBorder="1" applyAlignment="1">
      <alignment horizontal="center"/>
    </xf>
    <xf numFmtId="168" fontId="2" fillId="2" borderId="0" xfId="0" applyNumberFormat="1" applyFont="1" applyFill="1" applyBorder="1" applyAlignment="1">
      <alignment horizontal="center"/>
    </xf>
    <xf numFmtId="168" fontId="2" fillId="2" borderId="12" xfId="0" applyNumberFormat="1" applyFont="1" applyFill="1" applyBorder="1" applyAlignment="1">
      <alignment horizontal="center"/>
    </xf>
    <xf numFmtId="168" fontId="2" fillId="2" borderId="13" xfId="0" applyNumberFormat="1" applyFont="1" applyFill="1" applyBorder="1" applyAlignment="1">
      <alignment horizontal="center"/>
    </xf>
    <xf numFmtId="166" fontId="7" fillId="2" borderId="14" xfId="0" applyNumberFormat="1" applyFont="1" applyFill="1" applyBorder="1" applyAlignment="1">
      <alignment horizontal="center"/>
    </xf>
    <xf numFmtId="166" fontId="7" fillId="2" borderId="1" xfId="0" applyNumberFormat="1" applyFont="1" applyFill="1" applyBorder="1" applyAlignment="1">
      <alignment horizontal="center"/>
    </xf>
    <xf numFmtId="166" fontId="7" fillId="2" borderId="15" xfId="0" applyNumberFormat="1" applyFont="1" applyFill="1" applyBorder="1" applyAlignment="1">
      <alignment horizontal="center"/>
    </xf>
    <xf numFmtId="168" fontId="0" fillId="2" borderId="0" xfId="0" applyNumberFormat="1" applyFill="1" applyBorder="1" applyAlignment="1">
      <alignment horizontal="center"/>
    </xf>
    <xf numFmtId="168" fontId="0" fillId="2" borderId="13" xfId="0" applyNumberFormat="1" applyFill="1" applyBorder="1" applyAlignment="1">
      <alignment horizontal="center"/>
    </xf>
    <xf numFmtId="164" fontId="0" fillId="2" borderId="12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0" fillId="2" borderId="13" xfId="0" applyNumberFormat="1" applyFill="1" applyBorder="1" applyAlignment="1">
      <alignment horizontal="center"/>
    </xf>
    <xf numFmtId="169" fontId="7" fillId="2" borderId="12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/>
    </xf>
    <xf numFmtId="169" fontId="7" fillId="2" borderId="13" xfId="0" applyNumberFormat="1" applyFont="1" applyFill="1" applyBorder="1" applyAlignment="1">
      <alignment horizontal="center"/>
    </xf>
    <xf numFmtId="168" fontId="8" fillId="2" borderId="0" xfId="0" applyNumberFormat="1" applyFont="1" applyFill="1"/>
    <xf numFmtId="169" fontId="4" fillId="4" borderId="6" xfId="0" applyNumberFormat="1" applyFont="1" applyFill="1" applyBorder="1" applyAlignment="1">
      <alignment horizontal="center"/>
    </xf>
    <xf numFmtId="177" fontId="0" fillId="4" borderId="6" xfId="0" applyNumberForma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16" fillId="7" borderId="0" xfId="0" applyFont="1" applyFill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F0ACA-032C-4E53-95E0-93EB75947B99}">
  <dimension ref="A1:J291"/>
  <sheetViews>
    <sheetView tabSelected="1" topLeftCell="A256" zoomScale="130" zoomScaleNormal="130" workbookViewId="0">
      <selection activeCell="B264" sqref="B264"/>
    </sheetView>
  </sheetViews>
  <sheetFormatPr defaultRowHeight="15" x14ac:dyDescent="0.25"/>
  <cols>
    <col min="1" max="1" width="1.7109375" style="1" customWidth="1"/>
    <col min="2" max="2" width="51.28515625" style="1" customWidth="1"/>
    <col min="3" max="10" width="16.7109375" style="1" customWidth="1"/>
    <col min="11" max="16384" width="9.140625" style="1"/>
  </cols>
  <sheetData>
    <row r="1" spans="1:10" x14ac:dyDescent="0.25">
      <c r="A1" s="2"/>
      <c r="B1" s="3" t="s">
        <v>0</v>
      </c>
      <c r="C1" s="2"/>
      <c r="D1" s="2"/>
      <c r="E1" s="2"/>
      <c r="F1" s="2"/>
      <c r="G1" s="2"/>
      <c r="H1" s="2"/>
      <c r="I1" s="2"/>
      <c r="J1" s="2"/>
    </row>
    <row r="2" spans="1:10" ht="36" x14ac:dyDescent="0.55000000000000004">
      <c r="A2" s="2"/>
      <c r="B2" s="4" t="s">
        <v>33</v>
      </c>
      <c r="C2" s="2"/>
      <c r="D2" s="2"/>
      <c r="E2" s="2"/>
      <c r="F2" s="2"/>
      <c r="G2" s="2"/>
      <c r="H2" s="2"/>
      <c r="I2" s="2"/>
      <c r="J2" s="2"/>
    </row>
    <row r="3" spans="1:10" ht="5.25" customHeight="1" x14ac:dyDescent="0.25"/>
    <row r="4" spans="1:10" x14ac:dyDescent="0.25">
      <c r="B4" s="5" t="s">
        <v>1</v>
      </c>
      <c r="C4" s="6"/>
      <c r="D4" s="6"/>
      <c r="F4" s="5" t="s">
        <v>19</v>
      </c>
      <c r="G4" s="5"/>
      <c r="H4" s="6"/>
      <c r="I4" s="6"/>
      <c r="J4" s="6"/>
    </row>
    <row r="5" spans="1:10" x14ac:dyDescent="0.25">
      <c r="B5" s="1" t="s">
        <v>2</v>
      </c>
      <c r="D5" s="7" t="s">
        <v>31</v>
      </c>
      <c r="F5" s="1" t="s">
        <v>20</v>
      </c>
      <c r="H5" s="16">
        <v>2</v>
      </c>
      <c r="I5" s="17">
        <v>1</v>
      </c>
      <c r="J5" s="17">
        <v>2</v>
      </c>
    </row>
    <row r="6" spans="1:10" x14ac:dyDescent="0.25">
      <c r="B6" s="1" t="s">
        <v>3</v>
      </c>
      <c r="D6" s="7" t="s">
        <v>32</v>
      </c>
      <c r="H6" s="18" t="str">
        <f>CHOOSE(H5,I6,J6)</f>
        <v>Explicit offer/share</v>
      </c>
      <c r="I6" s="19" t="s">
        <v>21</v>
      </c>
      <c r="J6" s="19" t="s">
        <v>22</v>
      </c>
    </row>
    <row r="7" spans="1:10" x14ac:dyDescent="0.25">
      <c r="B7" s="1" t="s">
        <v>4</v>
      </c>
      <c r="D7" s="37">
        <v>24.45</v>
      </c>
    </row>
    <row r="8" spans="1:10" x14ac:dyDescent="0.25">
      <c r="B8" s="1" t="s">
        <v>5</v>
      </c>
      <c r="D8" s="8">
        <v>41182</v>
      </c>
      <c r="F8" s="1" t="s">
        <v>9</v>
      </c>
      <c r="H8" s="20">
        <f>D12</f>
        <v>9791</v>
      </c>
      <c r="I8" s="12"/>
      <c r="J8" s="9">
        <f>D12</f>
        <v>9791</v>
      </c>
    </row>
    <row r="9" spans="1:10" x14ac:dyDescent="0.25">
      <c r="B9" s="1" t="s">
        <v>6</v>
      </c>
      <c r="D9" s="7" t="s">
        <v>7</v>
      </c>
      <c r="F9" s="1" t="s">
        <v>23</v>
      </c>
      <c r="H9" s="21">
        <f>CHOOSE(H5,I9,J9)</f>
        <v>6.2774741811081149</v>
      </c>
      <c r="I9" s="22"/>
      <c r="J9" s="23">
        <f>J10/J8</f>
        <v>6.2774741811081149</v>
      </c>
    </row>
    <row r="10" spans="1:10" x14ac:dyDescent="0.25">
      <c r="F10" s="13" t="s">
        <v>24</v>
      </c>
      <c r="G10" s="13"/>
      <c r="H10" s="24">
        <f>J10</f>
        <v>61462.749707229552</v>
      </c>
      <c r="I10" s="15"/>
      <c r="J10" s="25">
        <f>J15-J12-J13</f>
        <v>61462.749707229552</v>
      </c>
    </row>
    <row r="11" spans="1:10" x14ac:dyDescent="0.25">
      <c r="B11" s="5" t="s">
        <v>8</v>
      </c>
      <c r="C11" s="6"/>
      <c r="D11" s="6"/>
      <c r="H11" s="26"/>
      <c r="I11" s="27"/>
    </row>
    <row r="12" spans="1:10" x14ac:dyDescent="0.25">
      <c r="B12" s="1" t="s">
        <v>9</v>
      </c>
      <c r="D12" s="9">
        <f>E72</f>
        <v>9791</v>
      </c>
      <c r="F12" s="1" t="s">
        <v>25</v>
      </c>
      <c r="H12" s="28">
        <f>D13</f>
        <v>-16457</v>
      </c>
      <c r="I12" s="12"/>
      <c r="J12" s="9">
        <f>D13</f>
        <v>-16457</v>
      </c>
    </row>
    <row r="13" spans="1:10" x14ac:dyDescent="0.25">
      <c r="B13" s="1" t="s">
        <v>10</v>
      </c>
      <c r="D13" s="10">
        <f>-(273+16184)</f>
        <v>-16457</v>
      </c>
      <c r="F13" s="1" t="s">
        <v>26</v>
      </c>
      <c r="H13" s="28">
        <f>D14</f>
        <v>16732</v>
      </c>
      <c r="I13" s="12"/>
      <c r="J13" s="9">
        <f>D14</f>
        <v>16732</v>
      </c>
    </row>
    <row r="14" spans="1:10" x14ac:dyDescent="0.25">
      <c r="B14" s="1" t="s">
        <v>11</v>
      </c>
      <c r="D14" s="10">
        <f>12007+4725</f>
        <v>16732</v>
      </c>
      <c r="H14" s="26"/>
      <c r="I14" s="12"/>
    </row>
    <row r="15" spans="1:10" x14ac:dyDescent="0.25">
      <c r="B15" s="1" t="s">
        <v>12</v>
      </c>
      <c r="D15" s="10">
        <v>5000</v>
      </c>
      <c r="F15" s="13" t="s">
        <v>27</v>
      </c>
      <c r="G15" s="13"/>
      <c r="H15" s="24">
        <f>H10+H12+H13</f>
        <v>61737.749707229552</v>
      </c>
      <c r="I15" s="15"/>
      <c r="J15" s="25">
        <f>J16*J18</f>
        <v>61737.749707229552</v>
      </c>
    </row>
    <row r="16" spans="1:10" x14ac:dyDescent="0.25">
      <c r="B16" s="1" t="s">
        <v>13</v>
      </c>
      <c r="D16" s="11">
        <v>7</v>
      </c>
      <c r="F16" s="1" t="s">
        <v>28</v>
      </c>
      <c r="H16" s="81">
        <f>J16</f>
        <v>2344.5323470000003</v>
      </c>
      <c r="I16" s="29"/>
      <c r="J16" s="40">
        <f>1546.011394+798.520953</f>
        <v>2344.5323470000003</v>
      </c>
    </row>
    <row r="17" spans="2:10" x14ac:dyDescent="0.25">
      <c r="H17" s="30"/>
      <c r="I17" s="27"/>
    </row>
    <row r="18" spans="2:10" x14ac:dyDescent="0.25">
      <c r="B18" s="5" t="s">
        <v>14</v>
      </c>
      <c r="C18" s="6"/>
      <c r="D18" s="6"/>
      <c r="F18" s="13" t="s">
        <v>29</v>
      </c>
      <c r="G18" s="13"/>
      <c r="H18" s="31">
        <f>H15/H16</f>
        <v>26.332649999999997</v>
      </c>
      <c r="I18" s="32"/>
      <c r="J18" s="38">
        <f>D7*(1+J19)</f>
        <v>26.332649999999997</v>
      </c>
    </row>
    <row r="19" spans="2:10" x14ac:dyDescent="0.25">
      <c r="B19" s="1" t="s">
        <v>15</v>
      </c>
      <c r="D19" s="12">
        <f>H15</f>
        <v>61737.749707229552</v>
      </c>
      <c r="F19" s="33" t="s">
        <v>30</v>
      </c>
      <c r="G19" s="33"/>
      <c r="H19" s="34">
        <f>H18/D7-1</f>
        <v>7.6999999999999957E-2</v>
      </c>
      <c r="I19" s="35"/>
      <c r="J19" s="39">
        <v>7.6999999999999999E-2</v>
      </c>
    </row>
    <row r="20" spans="2:10" x14ac:dyDescent="0.25">
      <c r="B20" s="1" t="s">
        <v>16</v>
      </c>
      <c r="D20" s="12">
        <f>-(H12)</f>
        <v>16457</v>
      </c>
    </row>
    <row r="21" spans="2:10" x14ac:dyDescent="0.25">
      <c r="B21" s="1" t="s">
        <v>17</v>
      </c>
      <c r="D21" s="12">
        <f>H32+H35</f>
        <v>1459.4309706084432</v>
      </c>
    </row>
    <row r="22" spans="2:10" x14ac:dyDescent="0.25">
      <c r="B22" s="13" t="s">
        <v>18</v>
      </c>
      <c r="C22" s="14"/>
      <c r="D22" s="15">
        <f>SUM(D19:D21)</f>
        <v>79654.180677837998</v>
      </c>
    </row>
    <row r="23" spans="2:10" ht="5.25" customHeight="1" x14ac:dyDescent="0.25"/>
    <row r="24" spans="2:10" x14ac:dyDescent="0.25">
      <c r="B24" s="5" t="s">
        <v>34</v>
      </c>
      <c r="C24" s="6"/>
      <c r="D24" s="6"/>
      <c r="F24" s="5" t="s">
        <v>47</v>
      </c>
      <c r="G24" s="6"/>
      <c r="H24" s="6"/>
      <c r="I24" s="6"/>
      <c r="J24" s="6"/>
    </row>
    <row r="25" spans="2:10" x14ac:dyDescent="0.25">
      <c r="C25" s="41" t="s">
        <v>35</v>
      </c>
      <c r="D25" s="41" t="s">
        <v>36</v>
      </c>
      <c r="G25" s="41" t="s">
        <v>48</v>
      </c>
      <c r="H25" s="41" t="s">
        <v>49</v>
      </c>
      <c r="I25" s="41" t="s">
        <v>50</v>
      </c>
      <c r="J25" s="41" t="s">
        <v>51</v>
      </c>
    </row>
    <row r="26" spans="2:10" x14ac:dyDescent="0.25">
      <c r="B26" s="1" t="s">
        <v>37</v>
      </c>
      <c r="C26" s="23">
        <f>D26/D12</f>
        <v>1.1982432846491675</v>
      </c>
      <c r="D26" s="42">
        <f>D14-D15</f>
        <v>11732</v>
      </c>
      <c r="F26" s="33" t="s">
        <v>52</v>
      </c>
    </row>
    <row r="27" spans="2:10" x14ac:dyDescent="0.25">
      <c r="B27" s="1" t="s">
        <v>38</v>
      </c>
      <c r="C27" s="11">
        <v>0</v>
      </c>
      <c r="D27" s="9">
        <f>C27*$D$12</f>
        <v>0</v>
      </c>
      <c r="F27" s="1" t="s">
        <v>38</v>
      </c>
      <c r="G27" s="39">
        <v>0.01</v>
      </c>
      <c r="H27" s="9">
        <f>G27*D27</f>
        <v>0</v>
      </c>
      <c r="I27" s="44">
        <v>5</v>
      </c>
      <c r="J27" s="45">
        <f>IFERROR(G27*D27/I27,"NM")</f>
        <v>0</v>
      </c>
    </row>
    <row r="28" spans="2:10" x14ac:dyDescent="0.25">
      <c r="B28" s="1" t="s">
        <v>39</v>
      </c>
      <c r="C28" s="11">
        <v>3</v>
      </c>
      <c r="D28" s="9">
        <f t="shared" ref="D28:D33" si="0">C28*$D$12</f>
        <v>29373</v>
      </c>
      <c r="F28" s="1" t="s">
        <v>39</v>
      </c>
      <c r="G28" s="39">
        <v>1.4999999999999999E-2</v>
      </c>
      <c r="H28" s="9">
        <f>G28*D28</f>
        <v>440.59499999999997</v>
      </c>
      <c r="I28" s="44">
        <v>7</v>
      </c>
      <c r="J28" s="45">
        <f t="shared" ref="J28:J31" si="1">IFERROR(G28*D28/I28,"NM")</f>
        <v>62.942142857142855</v>
      </c>
    </row>
    <row r="29" spans="2:10" x14ac:dyDescent="0.25">
      <c r="B29" s="1" t="s">
        <v>40</v>
      </c>
      <c r="C29" s="11">
        <v>0.42499999999999999</v>
      </c>
      <c r="D29" s="9">
        <f t="shared" si="0"/>
        <v>4161.1750000000002</v>
      </c>
      <c r="F29" s="1" t="s">
        <v>40</v>
      </c>
      <c r="G29" s="39">
        <v>1.4999999999999999E-2</v>
      </c>
      <c r="H29" s="9">
        <f t="shared" ref="H29:H31" si="2">G29*D29</f>
        <v>62.417625000000001</v>
      </c>
      <c r="I29" s="44">
        <v>7</v>
      </c>
      <c r="J29" s="45">
        <f t="shared" si="1"/>
        <v>8.9168035714285718</v>
      </c>
    </row>
    <row r="30" spans="2:10" x14ac:dyDescent="0.25">
      <c r="B30" s="1" t="s">
        <v>41</v>
      </c>
      <c r="C30" s="11">
        <v>0.31</v>
      </c>
      <c r="D30" s="9">
        <f t="shared" si="0"/>
        <v>3035.21</v>
      </c>
      <c r="F30" s="1" t="s">
        <v>41</v>
      </c>
      <c r="G30" s="39">
        <v>0.01</v>
      </c>
      <c r="H30" s="9">
        <f t="shared" si="2"/>
        <v>30.3521</v>
      </c>
      <c r="I30" s="44">
        <v>8</v>
      </c>
      <c r="J30" s="45">
        <f t="shared" si="1"/>
        <v>3.7940125</v>
      </c>
    </row>
    <row r="31" spans="2:10" x14ac:dyDescent="0.25">
      <c r="B31" s="1" t="s">
        <v>42</v>
      </c>
      <c r="C31" s="11">
        <v>0</v>
      </c>
      <c r="D31" s="9">
        <f t="shared" si="0"/>
        <v>0</v>
      </c>
      <c r="F31" s="1" t="s">
        <v>42</v>
      </c>
      <c r="G31" s="39">
        <v>0</v>
      </c>
      <c r="H31" s="9">
        <f t="shared" si="2"/>
        <v>0</v>
      </c>
      <c r="I31" s="46"/>
      <c r="J31" s="45" t="str">
        <f t="shared" si="1"/>
        <v>NM</v>
      </c>
    </row>
    <row r="32" spans="2:10" x14ac:dyDescent="0.25">
      <c r="B32" s="1" t="s">
        <v>43</v>
      </c>
      <c r="C32" s="11">
        <v>0</v>
      </c>
      <c r="D32" s="9">
        <f t="shared" si="0"/>
        <v>0</v>
      </c>
      <c r="F32" s="13" t="s">
        <v>53</v>
      </c>
      <c r="G32" s="13"/>
      <c r="H32" s="25">
        <f>SUM(H27:H31)</f>
        <v>533.36472499999991</v>
      </c>
      <c r="I32" s="15"/>
      <c r="J32" s="15">
        <f>SUM(J27:J31)</f>
        <v>75.652958928571422</v>
      </c>
    </row>
    <row r="33" spans="1:10" x14ac:dyDescent="0.25">
      <c r="B33" s="1" t="s">
        <v>44</v>
      </c>
      <c r="C33" s="11">
        <v>1.2</v>
      </c>
      <c r="D33" s="9">
        <f t="shared" si="0"/>
        <v>11749.199999999999</v>
      </c>
    </row>
    <row r="34" spans="1:10" x14ac:dyDescent="0.25">
      <c r="B34" s="1" t="s">
        <v>45</v>
      </c>
      <c r="C34" s="23">
        <f>D34/D12</f>
        <v>2.0022056662075376</v>
      </c>
      <c r="D34" s="9">
        <f>D22-SUM(D26:D33)</f>
        <v>19603.595677837999</v>
      </c>
      <c r="G34" s="7" t="s">
        <v>54</v>
      </c>
      <c r="H34" s="7" t="s">
        <v>49</v>
      </c>
    </row>
    <row r="35" spans="1:10" x14ac:dyDescent="0.25">
      <c r="B35" s="13" t="s">
        <v>46</v>
      </c>
      <c r="C35" s="43">
        <f>SUM(C26:C34)</f>
        <v>8.1354489508567056</v>
      </c>
      <c r="D35" s="15">
        <f>SUM(D26:D34)</f>
        <v>79654.180677837998</v>
      </c>
      <c r="F35" s="13" t="s">
        <v>55</v>
      </c>
      <c r="G35" s="47">
        <v>1.4999999999999999E-2</v>
      </c>
      <c r="H35" s="25">
        <f>G35*H15</f>
        <v>926.0662456084433</v>
      </c>
    </row>
    <row r="36" spans="1:10" ht="5.25" customHeight="1" x14ac:dyDescent="0.25"/>
    <row r="37" spans="1:10" x14ac:dyDescent="0.25">
      <c r="A37" s="2"/>
      <c r="B37" s="3" t="s">
        <v>84</v>
      </c>
      <c r="C37" s="153" t="s">
        <v>86</v>
      </c>
      <c r="D37" s="153"/>
      <c r="E37" s="153"/>
      <c r="F37" s="154" t="s">
        <v>85</v>
      </c>
      <c r="G37" s="154"/>
      <c r="H37" s="154"/>
      <c r="I37" s="154"/>
      <c r="J37" s="154"/>
    </row>
    <row r="38" spans="1:10" ht="31.5" x14ac:dyDescent="0.5">
      <c r="A38" s="2"/>
      <c r="B38" s="60" t="s">
        <v>56</v>
      </c>
      <c r="C38" s="62">
        <v>2010</v>
      </c>
      <c r="D38" s="62">
        <v>2011</v>
      </c>
      <c r="E38" s="62">
        <v>2012</v>
      </c>
      <c r="F38" s="61">
        <v>2013</v>
      </c>
      <c r="G38" s="61">
        <v>2014</v>
      </c>
      <c r="H38" s="61">
        <v>2015</v>
      </c>
      <c r="I38" s="61">
        <v>2016</v>
      </c>
      <c r="J38" s="61">
        <v>2017</v>
      </c>
    </row>
    <row r="39" spans="1:10" ht="5.25" customHeight="1" x14ac:dyDescent="0.5">
      <c r="B39" s="58"/>
      <c r="C39" s="59"/>
      <c r="D39" s="59"/>
      <c r="E39" s="59"/>
      <c r="F39" s="59"/>
      <c r="G39" s="59"/>
      <c r="H39" s="59"/>
      <c r="I39" s="59"/>
      <c r="J39" s="59"/>
    </row>
    <row r="40" spans="1:10" x14ac:dyDescent="0.25">
      <c r="B40" s="1" t="s">
        <v>57</v>
      </c>
      <c r="C40" s="48">
        <v>32778</v>
      </c>
      <c r="D40" s="49">
        <v>33405</v>
      </c>
      <c r="E40" s="48">
        <v>33706</v>
      </c>
      <c r="F40" s="50">
        <f>E40*(1+F60)</f>
        <v>34211.589999999997</v>
      </c>
      <c r="G40" s="50">
        <f>F40*(1+G60)</f>
        <v>34810.292824999997</v>
      </c>
      <c r="H40" s="50">
        <f>G40*(1+H60)</f>
        <v>35506.498681499994</v>
      </c>
      <c r="I40" s="50">
        <f>H40*(1+I60)</f>
        <v>36216.628655129993</v>
      </c>
      <c r="J40" s="50">
        <f>I40*(1+J60)</f>
        <v>36940.961228232591</v>
      </c>
    </row>
    <row r="41" spans="1:10" x14ac:dyDescent="0.25">
      <c r="B41" s="1" t="s">
        <v>58</v>
      </c>
      <c r="C41" s="40">
        <v>-21015</v>
      </c>
      <c r="D41" s="40">
        <v>-21058</v>
      </c>
      <c r="E41" s="40">
        <v>-20785</v>
      </c>
      <c r="F41" s="27">
        <f>F42-F40</f>
        <v>-21532.774745999999</v>
      </c>
      <c r="G41" s="27">
        <f t="shared" ref="G41:J41" si="3">G42-G40</f>
        <v>-21909.598304054998</v>
      </c>
      <c r="H41" s="27">
        <f t="shared" si="3"/>
        <v>-22347.790270136094</v>
      </c>
      <c r="I41" s="27">
        <f t="shared" si="3"/>
        <v>-22794.746075538817</v>
      </c>
      <c r="J41" s="27">
        <f t="shared" si="3"/>
        <v>-23250.640997049595</v>
      </c>
    </row>
    <row r="42" spans="1:10" x14ac:dyDescent="0.25">
      <c r="B42" s="13" t="s">
        <v>59</v>
      </c>
      <c r="C42" s="51">
        <f>SUM(C40:C41)</f>
        <v>11763</v>
      </c>
      <c r="D42" s="51">
        <f t="shared" ref="D42:E42" si="4">SUM(D40:D41)</f>
        <v>12347</v>
      </c>
      <c r="E42" s="51">
        <f t="shared" si="4"/>
        <v>12921</v>
      </c>
      <c r="F42" s="52">
        <f>F40*F61</f>
        <v>12678.815253999997</v>
      </c>
      <c r="G42" s="52">
        <f>G40*G61</f>
        <v>12900.694520944999</v>
      </c>
      <c r="H42" s="52">
        <f>H40*H61</f>
        <v>13158.708411363898</v>
      </c>
      <c r="I42" s="52">
        <f>I40*I61</f>
        <v>13421.882579591174</v>
      </c>
      <c r="J42" s="52">
        <f>J40*J61</f>
        <v>13690.320231182997</v>
      </c>
    </row>
    <row r="43" spans="1:10" ht="5.25" customHeight="1" x14ac:dyDescent="0.25"/>
    <row r="44" spans="1:10" x14ac:dyDescent="0.25">
      <c r="B44" s="1" t="s">
        <v>60</v>
      </c>
      <c r="C44" s="40">
        <v>-6619</v>
      </c>
      <c r="D44" s="40">
        <v>-6306</v>
      </c>
      <c r="E44" s="40">
        <v>-6363</v>
      </c>
      <c r="F44" s="27">
        <f>-(F40*F62)</f>
        <v>-6606.2580289999987</v>
      </c>
      <c r="G44" s="27">
        <f>-(G40*G62)</f>
        <v>-6721.8675445074996</v>
      </c>
      <c r="H44" s="27">
        <f>-(H40*H62)</f>
        <v>-6856.3048953976486</v>
      </c>
      <c r="I44" s="27">
        <f>-(I40*I62)</f>
        <v>-6993.4309933056011</v>
      </c>
      <c r="J44" s="27">
        <f>-(J40*J62)</f>
        <v>-7133.2996131717127</v>
      </c>
    </row>
    <row r="45" spans="1:10" x14ac:dyDescent="0.25">
      <c r="B45" s="1" t="s">
        <v>61</v>
      </c>
      <c r="C45" s="40">
        <v>-1185</v>
      </c>
      <c r="D45" s="40">
        <v>-1191</v>
      </c>
      <c r="E45" s="40">
        <v>-1179</v>
      </c>
      <c r="F45" s="27">
        <f>F95+F101</f>
        <v>-434.09280457499995</v>
      </c>
      <c r="G45" s="27">
        <f t="shared" ref="G45:J45" si="5">G95+G101</f>
        <v>-429.18942865506244</v>
      </c>
      <c r="H45" s="27">
        <f t="shared" si="5"/>
        <v>-425.95321722816368</v>
      </c>
      <c r="I45" s="27">
        <f t="shared" si="5"/>
        <v>-410.81228157272699</v>
      </c>
      <c r="J45" s="27">
        <f t="shared" si="5"/>
        <v>-382.76852720418151</v>
      </c>
    </row>
    <row r="46" spans="1:10" x14ac:dyDescent="0.25">
      <c r="B46" s="1" t="s">
        <v>82</v>
      </c>
      <c r="C46" s="40">
        <v>0</v>
      </c>
      <c r="D46" s="40">
        <v>0</v>
      </c>
      <c r="E46" s="40">
        <v>0</v>
      </c>
    </row>
    <row r="47" spans="1:10" x14ac:dyDescent="0.25">
      <c r="B47" s="13" t="s">
        <v>62</v>
      </c>
      <c r="C47" s="51">
        <f>C42+SUM(C44:C46)</f>
        <v>3959</v>
      </c>
      <c r="D47" s="51">
        <f t="shared" ref="D47:E47" si="6">D42+SUM(D44:D46)</f>
        <v>4850</v>
      </c>
      <c r="E47" s="51">
        <f t="shared" si="6"/>
        <v>5379</v>
      </c>
      <c r="F47" s="51">
        <f t="shared" ref="F47" si="7">F42+SUM(F44:F46)</f>
        <v>5638.4644204249989</v>
      </c>
      <c r="G47" s="51">
        <f t="shared" ref="G47" si="8">G42+SUM(G44:G46)</f>
        <v>5749.6375477824367</v>
      </c>
      <c r="H47" s="51">
        <f t="shared" ref="H47" si="9">H42+SUM(H44:H46)</f>
        <v>5876.4502987380856</v>
      </c>
      <c r="I47" s="51">
        <f t="shared" ref="I47" si="10">I42+SUM(I44:I46)</f>
        <v>6017.6393047128458</v>
      </c>
      <c r="J47" s="51">
        <f t="shared" ref="J47" si="11">J42+SUM(J44:J46)</f>
        <v>6174.2520908071028</v>
      </c>
    </row>
    <row r="48" spans="1:10" ht="5.25" customHeight="1" x14ac:dyDescent="0.25">
      <c r="C48" s="27"/>
      <c r="D48" s="27"/>
      <c r="E48" s="27"/>
    </row>
    <row r="49" spans="2:10" x14ac:dyDescent="0.25">
      <c r="B49" s="1" t="s">
        <v>63</v>
      </c>
      <c r="C49" s="40">
        <v>-253</v>
      </c>
      <c r="D49" s="40">
        <v>-313</v>
      </c>
      <c r="E49" s="40">
        <v>-3005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</row>
    <row r="50" spans="2:10" x14ac:dyDescent="0.25">
      <c r="B50" s="1" t="s">
        <v>64</v>
      </c>
      <c r="C50" s="40">
        <v>448</v>
      </c>
      <c r="D50" s="40">
        <v>462</v>
      </c>
      <c r="E50" s="40">
        <v>730</v>
      </c>
      <c r="F50" s="101">
        <v>546.66666666666663</v>
      </c>
      <c r="G50" s="101">
        <v>546.66666666666663</v>
      </c>
      <c r="H50" s="101">
        <v>546.66666666666663</v>
      </c>
      <c r="I50" s="101">
        <v>546.66666666666663</v>
      </c>
      <c r="J50" s="101">
        <v>546.66666666666663</v>
      </c>
    </row>
    <row r="51" spans="2:10" x14ac:dyDescent="0.25">
      <c r="B51" s="1" t="s">
        <v>65</v>
      </c>
      <c r="C51" s="40">
        <v>-991</v>
      </c>
      <c r="D51" s="40">
        <v>-966</v>
      </c>
      <c r="E51" s="40">
        <v>-1034</v>
      </c>
      <c r="F51" s="27">
        <f ca="1">-(SUM(F207:F212))</f>
        <v>-1808.8557783593551</v>
      </c>
      <c r="G51" s="27">
        <f t="shared" ref="G51:J51" ca="1" si="12">-(SUM(G207:G212))</f>
        <v>-1484.5710660774664</v>
      </c>
      <c r="H51" s="27">
        <f t="shared" ca="1" si="12"/>
        <v>-1135.7302609029873</v>
      </c>
      <c r="I51" s="27">
        <f t="shared" ca="1" si="12"/>
        <v>-873.04894280573171</v>
      </c>
      <c r="J51" s="27">
        <f t="shared" ca="1" si="12"/>
        <v>-469.78242085574141</v>
      </c>
    </row>
    <row r="52" spans="2:10" x14ac:dyDescent="0.25">
      <c r="B52" s="1" t="s">
        <v>66</v>
      </c>
      <c r="C52" s="40">
        <v>91</v>
      </c>
      <c r="D52" s="40">
        <v>126</v>
      </c>
      <c r="E52" s="40">
        <v>135</v>
      </c>
      <c r="F52" s="101">
        <f>F141</f>
        <v>135</v>
      </c>
      <c r="G52" s="101">
        <f t="shared" ref="G52:J52" si="13">G141</f>
        <v>135</v>
      </c>
      <c r="H52" s="101">
        <f t="shared" si="13"/>
        <v>135</v>
      </c>
      <c r="I52" s="101">
        <f t="shared" si="13"/>
        <v>135</v>
      </c>
      <c r="J52" s="101">
        <f t="shared" si="13"/>
        <v>135</v>
      </c>
    </row>
    <row r="53" spans="2:10" x14ac:dyDescent="0.25">
      <c r="B53" s="1" t="s">
        <v>67</v>
      </c>
      <c r="C53" s="40">
        <v>69</v>
      </c>
      <c r="D53" s="40">
        <v>18</v>
      </c>
      <c r="E53" s="40">
        <v>7</v>
      </c>
      <c r="F53" s="40">
        <v>31.333333333333332</v>
      </c>
      <c r="G53" s="40">
        <v>31.333333333333332</v>
      </c>
      <c r="H53" s="40">
        <v>31.333333333333332</v>
      </c>
      <c r="I53" s="40">
        <v>31.333333333333332</v>
      </c>
      <c r="J53" s="40">
        <v>31.333333333333332</v>
      </c>
    </row>
    <row r="54" spans="2:10" x14ac:dyDescent="0.25">
      <c r="B54" s="13" t="s">
        <v>68</v>
      </c>
      <c r="C54" s="51">
        <f>C47+SUM(C49:C53)</f>
        <v>3323</v>
      </c>
      <c r="D54" s="51">
        <f>D47+SUM(D49:D53)</f>
        <v>4177</v>
      </c>
      <c r="E54" s="51">
        <f>E47+SUM(E49:E53)</f>
        <v>2212</v>
      </c>
      <c r="F54" s="51">
        <f t="shared" ref="F54:J54" ca="1" si="14">F47+SUM(F49:F53)</f>
        <v>4542.6086420656438</v>
      </c>
      <c r="G54" s="51">
        <f t="shared" ca="1" si="14"/>
        <v>4978.0664817049701</v>
      </c>
      <c r="H54" s="51">
        <f t="shared" ca="1" si="14"/>
        <v>5453.7200378350981</v>
      </c>
      <c r="I54" s="51">
        <f t="shared" ca="1" si="14"/>
        <v>5857.5903619071141</v>
      </c>
      <c r="J54" s="51">
        <f t="shared" ca="1" si="14"/>
        <v>6417.4696699513615</v>
      </c>
    </row>
    <row r="55" spans="2:10" ht="5.25" customHeight="1" x14ac:dyDescent="0.25">
      <c r="C55" s="27"/>
      <c r="D55" s="27"/>
      <c r="E55" s="27"/>
    </row>
    <row r="56" spans="2:10" x14ac:dyDescent="0.25">
      <c r="B56" s="1" t="s">
        <v>69</v>
      </c>
      <c r="C56" s="40">
        <v>-679</v>
      </c>
      <c r="D56" s="40">
        <v>-1029</v>
      </c>
      <c r="E56" s="40">
        <v>-805</v>
      </c>
      <c r="F56" s="27">
        <f ca="1">-(F54*F64)</f>
        <v>-1233.3182463208225</v>
      </c>
      <c r="G56" s="27">
        <f ca="1">-(G54*G64)</f>
        <v>-1351.5450497828995</v>
      </c>
      <c r="H56" s="27">
        <f ca="1">-(H54*H64)</f>
        <v>-1480.6849902722292</v>
      </c>
      <c r="I56" s="27">
        <f ca="1">-(I54*I64)</f>
        <v>-1590.3357832577815</v>
      </c>
      <c r="J56" s="27">
        <f ca="1">-(J54*J64)</f>
        <v>-1742.3430153917948</v>
      </c>
    </row>
    <row r="57" spans="2:10" ht="15.75" thickBot="1" x14ac:dyDescent="0.3">
      <c r="B57" s="53" t="s">
        <v>70</v>
      </c>
      <c r="C57" s="54">
        <f>C54+C56+-105</f>
        <v>2539</v>
      </c>
      <c r="D57" s="54">
        <f>D54+D56+-254+-155</f>
        <v>2739</v>
      </c>
      <c r="E57" s="54">
        <f>E54+E56+-228</f>
        <v>1179</v>
      </c>
      <c r="F57" s="54">
        <f ca="1">F54+F56</f>
        <v>3309.2903957448216</v>
      </c>
      <c r="G57" s="54">
        <f t="shared" ref="G57:J57" ca="1" si="15">G54+G56</f>
        <v>3626.5214319220704</v>
      </c>
      <c r="H57" s="54">
        <f t="shared" ca="1" si="15"/>
        <v>3973.0350475628688</v>
      </c>
      <c r="I57" s="54">
        <f t="shared" ca="1" si="15"/>
        <v>4267.2545786493329</v>
      </c>
      <c r="J57" s="54">
        <f t="shared" ca="1" si="15"/>
        <v>4675.1266545595663</v>
      </c>
    </row>
    <row r="58" spans="2:10" ht="5.25" customHeight="1" thickTop="1" x14ac:dyDescent="0.25"/>
    <row r="59" spans="2:10" x14ac:dyDescent="0.25">
      <c r="B59" s="56" t="s">
        <v>71</v>
      </c>
    </row>
    <row r="60" spans="2:10" x14ac:dyDescent="0.25">
      <c r="B60" s="1" t="s">
        <v>72</v>
      </c>
      <c r="C60" s="35"/>
      <c r="D60" s="36">
        <f>D40/C40-1</f>
        <v>1.9128683873329777E-2</v>
      </c>
      <c r="E60" s="36">
        <f>E40/D40-1</f>
        <v>9.0106271516239289E-3</v>
      </c>
      <c r="F60" s="39">
        <v>1.4999999999999999E-2</v>
      </c>
      <c r="G60" s="39">
        <v>1.7500000000000002E-2</v>
      </c>
      <c r="H60" s="39">
        <v>0.02</v>
      </c>
      <c r="I60" s="39">
        <v>0.02</v>
      </c>
      <c r="J60" s="39">
        <v>0.02</v>
      </c>
    </row>
    <row r="61" spans="2:10" x14ac:dyDescent="0.25">
      <c r="B61" s="1" t="s">
        <v>73</v>
      </c>
      <c r="C61" s="36">
        <f>C42/C40</f>
        <v>0.35886875343218011</v>
      </c>
      <c r="D61" s="36">
        <f t="shared" ref="D61:E61" si="16">D42/D40</f>
        <v>0.3696153270468493</v>
      </c>
      <c r="E61" s="36">
        <f t="shared" si="16"/>
        <v>0.38334421171304811</v>
      </c>
      <c r="F61" s="39">
        <v>0.37059999999999998</v>
      </c>
      <c r="G61" s="39">
        <v>0.37059999999999998</v>
      </c>
      <c r="H61" s="39">
        <v>0.37059999999999998</v>
      </c>
      <c r="I61" s="39">
        <v>0.37059999999999998</v>
      </c>
      <c r="J61" s="39">
        <v>0.37059999999999998</v>
      </c>
    </row>
    <row r="62" spans="2:10" x14ac:dyDescent="0.25">
      <c r="B62" s="1" t="s">
        <v>74</v>
      </c>
      <c r="C62" s="36">
        <f>-(C44/C40)</f>
        <v>0.20193422417475135</v>
      </c>
      <c r="D62" s="36">
        <f>-(D44/D40)</f>
        <v>0.18877413560844186</v>
      </c>
      <c r="E62" s="36">
        <f>-(E44/E40)</f>
        <v>0.1887794457960007</v>
      </c>
      <c r="F62" s="39">
        <v>0.19309999999999999</v>
      </c>
      <c r="G62" s="39">
        <v>0.19309999999999999</v>
      </c>
      <c r="H62" s="39">
        <v>0.19309999999999999</v>
      </c>
      <c r="I62" s="39">
        <v>0.19309999999999999</v>
      </c>
      <c r="J62" s="39">
        <v>0.19309999999999999</v>
      </c>
    </row>
    <row r="63" spans="2:10" x14ac:dyDescent="0.25">
      <c r="B63" s="1" t="s">
        <v>124</v>
      </c>
      <c r="C63" s="36">
        <f>-(C70/SUM(C44:C46,C41))</f>
        <v>5.1702002151358482E-3</v>
      </c>
      <c r="D63" s="36">
        <f t="shared" ref="D63:E63" si="17">-(D70/SUM(D44:D46,D41))</f>
        <v>6.1285239012432149E-3</v>
      </c>
      <c r="E63" s="36">
        <f t="shared" si="17"/>
        <v>8.0488579800190637E-3</v>
      </c>
      <c r="F63" s="39">
        <v>8.0000000000000002E-3</v>
      </c>
      <c r="G63" s="39">
        <v>8.0000000000000002E-3</v>
      </c>
      <c r="H63" s="39">
        <v>8.0000000000000002E-3</v>
      </c>
      <c r="I63" s="39">
        <v>8.0000000000000002E-3</v>
      </c>
      <c r="J63" s="39">
        <v>8.0000000000000002E-3</v>
      </c>
    </row>
    <row r="64" spans="2:10" x14ac:dyDescent="0.25">
      <c r="B64" s="1" t="s">
        <v>75</v>
      </c>
      <c r="C64" s="36">
        <f>-(C56/C54)</f>
        <v>0.20433343364429732</v>
      </c>
      <c r="D64" s="36">
        <f>-(D56/D54)</f>
        <v>0.24634905434522383</v>
      </c>
      <c r="E64" s="36">
        <f>-(E56/E54)</f>
        <v>0.36392405063291139</v>
      </c>
      <c r="F64" s="39">
        <v>0.27150000000000002</v>
      </c>
      <c r="G64" s="39">
        <v>0.27150000000000002</v>
      </c>
      <c r="H64" s="39">
        <v>0.27150000000000002</v>
      </c>
      <c r="I64" s="39">
        <v>0.27150000000000002</v>
      </c>
      <c r="J64" s="39">
        <v>0.27150000000000002</v>
      </c>
    </row>
    <row r="65" spans="1:10" ht="5.25" customHeight="1" x14ac:dyDescent="0.25"/>
    <row r="66" spans="1:10" x14ac:dyDescent="0.25">
      <c r="B66" s="56" t="s">
        <v>76</v>
      </c>
      <c r="C66" s="12"/>
      <c r="D66" s="12"/>
    </row>
    <row r="67" spans="1:10" x14ac:dyDescent="0.25">
      <c r="B67" s="1" t="s">
        <v>79</v>
      </c>
      <c r="C67" s="9">
        <f>C47</f>
        <v>3959</v>
      </c>
      <c r="D67" s="9">
        <f t="shared" ref="D67:J67" si="18">D47</f>
        <v>4850</v>
      </c>
      <c r="E67" s="9">
        <f t="shared" si="18"/>
        <v>5379</v>
      </c>
      <c r="F67" s="9">
        <f t="shared" si="18"/>
        <v>5638.4644204249989</v>
      </c>
      <c r="G67" s="9">
        <f t="shared" si="18"/>
        <v>5749.6375477824367</v>
      </c>
      <c r="H67" s="9">
        <f t="shared" si="18"/>
        <v>5876.4502987380856</v>
      </c>
      <c r="I67" s="9">
        <f t="shared" si="18"/>
        <v>6017.6393047128458</v>
      </c>
      <c r="J67" s="9">
        <f t="shared" si="18"/>
        <v>6174.2520908071028</v>
      </c>
    </row>
    <row r="68" spans="1:10" x14ac:dyDescent="0.25">
      <c r="B68" s="1" t="s">
        <v>80</v>
      </c>
      <c r="C68" s="9">
        <f>-(C45)</f>
        <v>1185</v>
      </c>
      <c r="D68" s="9">
        <f>-(D45)</f>
        <v>1191</v>
      </c>
      <c r="E68" s="9">
        <f>-(E45)</f>
        <v>1179</v>
      </c>
      <c r="F68" s="9">
        <f>-(F45)</f>
        <v>434.09280457499995</v>
      </c>
      <c r="G68" s="9">
        <f t="shared" ref="G68:J68" si="19">-(G45)</f>
        <v>429.18942865506244</v>
      </c>
      <c r="H68" s="9">
        <f t="shared" si="19"/>
        <v>425.95321722816368</v>
      </c>
      <c r="I68" s="9">
        <f t="shared" si="19"/>
        <v>410.81228157272699</v>
      </c>
      <c r="J68" s="9">
        <f t="shared" si="19"/>
        <v>382.76852720418151</v>
      </c>
    </row>
    <row r="69" spans="1:10" x14ac:dyDescent="0.25">
      <c r="B69" s="1" t="s">
        <v>81</v>
      </c>
      <c r="C69" s="9">
        <f>C46</f>
        <v>0</v>
      </c>
      <c r="D69" s="9">
        <f t="shared" ref="D69:E69" si="20">D46</f>
        <v>0</v>
      </c>
      <c r="E69" s="9">
        <f t="shared" si="20"/>
        <v>0</v>
      </c>
      <c r="F69" s="9">
        <f>F46</f>
        <v>0</v>
      </c>
      <c r="G69" s="9">
        <f t="shared" ref="G69:J69" si="21">G46</f>
        <v>0</v>
      </c>
      <c r="H69" s="9">
        <f t="shared" si="21"/>
        <v>0</v>
      </c>
      <c r="I69" s="9">
        <f t="shared" si="21"/>
        <v>0</v>
      </c>
      <c r="J69" s="9">
        <f t="shared" si="21"/>
        <v>0</v>
      </c>
    </row>
    <row r="70" spans="1:10" x14ac:dyDescent="0.25">
      <c r="B70" s="1" t="s">
        <v>77</v>
      </c>
      <c r="C70" s="10">
        <v>149</v>
      </c>
      <c r="D70" s="10">
        <v>175</v>
      </c>
      <c r="E70" s="57">
        <v>228</v>
      </c>
      <c r="F70" s="9">
        <f>-(F63*SUM(F44:F46,F41))</f>
        <v>228.58500463659999</v>
      </c>
      <c r="G70" s="9">
        <f t="shared" ref="G70:J70" si="22">-(G63*SUM(G44:G46,G41))</f>
        <v>232.48524221774048</v>
      </c>
      <c r="H70" s="9">
        <f t="shared" si="22"/>
        <v>237.04038706209525</v>
      </c>
      <c r="I70" s="9">
        <f t="shared" si="22"/>
        <v>241.59191480333718</v>
      </c>
      <c r="J70" s="9">
        <f t="shared" si="22"/>
        <v>246.13367309940392</v>
      </c>
    </row>
    <row r="71" spans="1:10" x14ac:dyDescent="0.25">
      <c r="B71" s="1" t="s">
        <v>83</v>
      </c>
      <c r="C71" s="9">
        <f>-(C49)</f>
        <v>253</v>
      </c>
      <c r="D71" s="9">
        <f t="shared" ref="D71:E71" si="23">-(D49)</f>
        <v>313</v>
      </c>
      <c r="E71" s="9">
        <f t="shared" si="23"/>
        <v>3005</v>
      </c>
      <c r="F71" s="9">
        <f>F49</f>
        <v>0</v>
      </c>
      <c r="G71" s="9">
        <f t="shared" ref="G71:J71" si="24">G49</f>
        <v>0</v>
      </c>
      <c r="H71" s="9">
        <f t="shared" si="24"/>
        <v>0</v>
      </c>
      <c r="I71" s="9">
        <f t="shared" si="24"/>
        <v>0</v>
      </c>
      <c r="J71" s="9">
        <f t="shared" si="24"/>
        <v>0</v>
      </c>
    </row>
    <row r="72" spans="1:10" x14ac:dyDescent="0.25">
      <c r="B72" s="13" t="s">
        <v>78</v>
      </c>
      <c r="C72" s="25">
        <f t="shared" ref="C72:D72" si="25">SUM(C67:C71)</f>
        <v>5546</v>
      </c>
      <c r="D72" s="25">
        <f t="shared" si="25"/>
        <v>6529</v>
      </c>
      <c r="E72" s="25">
        <f>SUM(E67:E71)</f>
        <v>9791</v>
      </c>
      <c r="F72" s="25">
        <f t="shared" ref="F72:J72" si="26">SUM(F67:F71)</f>
        <v>6301.142229636599</v>
      </c>
      <c r="G72" s="25">
        <f t="shared" si="26"/>
        <v>6411.3122186552391</v>
      </c>
      <c r="H72" s="25">
        <f t="shared" si="26"/>
        <v>6539.4439030283438</v>
      </c>
      <c r="I72" s="25">
        <f t="shared" si="26"/>
        <v>6670.0435010889105</v>
      </c>
      <c r="J72" s="25">
        <f t="shared" si="26"/>
        <v>6803.1542911106881</v>
      </c>
    </row>
    <row r="73" spans="1:10" ht="5.25" customHeight="1" x14ac:dyDescent="0.25"/>
    <row r="74" spans="1:10" x14ac:dyDescent="0.25">
      <c r="A74" s="63"/>
      <c r="B74" s="64" t="s">
        <v>84</v>
      </c>
      <c r="C74" s="155" t="s">
        <v>86</v>
      </c>
      <c r="D74" s="155"/>
      <c r="E74" s="155"/>
      <c r="F74" s="156" t="s">
        <v>85</v>
      </c>
      <c r="G74" s="156"/>
      <c r="H74" s="156"/>
      <c r="I74" s="156"/>
      <c r="J74" s="156"/>
    </row>
    <row r="75" spans="1:10" ht="21" x14ac:dyDescent="0.35">
      <c r="A75" s="63"/>
      <c r="B75" s="82" t="s">
        <v>87</v>
      </c>
      <c r="C75" s="66">
        <v>2010</v>
      </c>
      <c r="D75" s="66">
        <v>2011</v>
      </c>
      <c r="E75" s="66">
        <v>2012</v>
      </c>
      <c r="F75" s="65">
        <v>2013</v>
      </c>
      <c r="G75" s="65">
        <v>2014</v>
      </c>
      <c r="H75" s="65">
        <v>2015</v>
      </c>
      <c r="I75" s="65">
        <v>2016</v>
      </c>
      <c r="J75" s="65">
        <v>2017</v>
      </c>
    </row>
    <row r="76" spans="1:10" ht="5.25" customHeight="1" x14ac:dyDescent="0.25"/>
    <row r="77" spans="1:10" x14ac:dyDescent="0.25">
      <c r="B77" s="56" t="s">
        <v>88</v>
      </c>
      <c r="D77" s="40">
        <v>6680</v>
      </c>
      <c r="E77" s="40">
        <v>6995</v>
      </c>
      <c r="F77" s="27">
        <f>F78*F40</f>
        <v>6842.3179999999993</v>
      </c>
      <c r="G77" s="27">
        <f t="shared" ref="G77:J77" si="27">G78*G40</f>
        <v>6962.0585649999994</v>
      </c>
      <c r="H77" s="27">
        <f t="shared" si="27"/>
        <v>7101.2997362999995</v>
      </c>
      <c r="I77" s="27">
        <f t="shared" si="27"/>
        <v>7243.3257310259987</v>
      </c>
      <c r="J77" s="27">
        <f t="shared" si="27"/>
        <v>7388.1922456465181</v>
      </c>
    </row>
    <row r="78" spans="1:10" x14ac:dyDescent="0.25">
      <c r="B78" s="33" t="s">
        <v>89</v>
      </c>
      <c r="D78" s="67">
        <f>D77/D40</f>
        <v>0.19997006436162251</v>
      </c>
      <c r="E78" s="67">
        <f>E77/E40</f>
        <v>0.20752981664985462</v>
      </c>
      <c r="F78" s="68">
        <v>0.2</v>
      </c>
      <c r="G78" s="68">
        <v>0.2</v>
      </c>
      <c r="H78" s="68">
        <v>0.2</v>
      </c>
      <c r="I78" s="68">
        <v>0.2</v>
      </c>
      <c r="J78" s="68">
        <v>0.2</v>
      </c>
    </row>
    <row r="79" spans="1:10" x14ac:dyDescent="0.25">
      <c r="B79" s="56" t="s">
        <v>95</v>
      </c>
      <c r="D79" s="40">
        <v>1397</v>
      </c>
      <c r="E79" s="40">
        <v>1762</v>
      </c>
      <c r="F79" s="27">
        <f>F80*F40</f>
        <v>1625.0505249999999</v>
      </c>
      <c r="G79" s="27">
        <f t="shared" ref="G79:J79" si="28">G80*G40</f>
        <v>1653.4889091874998</v>
      </c>
      <c r="H79" s="27">
        <f t="shared" si="28"/>
        <v>1686.5586873712498</v>
      </c>
      <c r="I79" s="27">
        <f t="shared" si="28"/>
        <v>1720.2898611186747</v>
      </c>
      <c r="J79" s="27">
        <f t="shared" si="28"/>
        <v>1754.6956583410481</v>
      </c>
    </row>
    <row r="80" spans="1:10" x14ac:dyDescent="0.25">
      <c r="B80" s="33" t="s">
        <v>90</v>
      </c>
      <c r="D80" s="67">
        <f>D79/D40</f>
        <v>4.1820086813351295E-2</v>
      </c>
      <c r="E80" s="67">
        <f>E79/E40</f>
        <v>5.2275559247611701E-2</v>
      </c>
      <c r="F80" s="68">
        <v>4.7500000000000001E-2</v>
      </c>
      <c r="G80" s="68">
        <v>4.7500000000000001E-2</v>
      </c>
      <c r="H80" s="68">
        <v>4.7500000000000001E-2</v>
      </c>
      <c r="I80" s="68">
        <v>4.7500000000000001E-2</v>
      </c>
      <c r="J80" s="68">
        <v>4.7500000000000001E-2</v>
      </c>
    </row>
    <row r="81" spans="1:10" x14ac:dyDescent="0.25">
      <c r="B81" s="56" t="s">
        <v>103</v>
      </c>
      <c r="D81" s="40">
        <v>6530</v>
      </c>
      <c r="E81" s="40">
        <v>7191</v>
      </c>
      <c r="F81" s="55">
        <f>-(F82*F41)</f>
        <v>7159.6476030450003</v>
      </c>
      <c r="G81" s="55">
        <f t="shared" ref="G81:J81" si="29">-(G82*G41)</f>
        <v>7284.9414360982873</v>
      </c>
      <c r="H81" s="55">
        <f t="shared" si="29"/>
        <v>7430.640264820252</v>
      </c>
      <c r="I81" s="55">
        <f t="shared" si="29"/>
        <v>7579.253070116657</v>
      </c>
      <c r="J81" s="55">
        <f t="shared" si="29"/>
        <v>7730.8381315189908</v>
      </c>
    </row>
    <row r="82" spans="1:10" x14ac:dyDescent="0.25">
      <c r="B82" s="33" t="s">
        <v>104</v>
      </c>
      <c r="D82" s="67">
        <f>-(D81/D41)</f>
        <v>0.31009592553898757</v>
      </c>
      <c r="E82" s="67">
        <f>-(E81/E41)</f>
        <v>0.34597065191243687</v>
      </c>
      <c r="F82" s="68">
        <v>0.33250000000000002</v>
      </c>
      <c r="G82" s="68">
        <v>0.33250000000000002</v>
      </c>
      <c r="H82" s="68">
        <v>0.33250000000000002</v>
      </c>
      <c r="I82" s="68">
        <v>0.33250000000000002</v>
      </c>
      <c r="J82" s="68">
        <v>0.33250000000000002</v>
      </c>
    </row>
    <row r="83" spans="1:10" x14ac:dyDescent="0.25">
      <c r="B83" s="56" t="s">
        <v>91</v>
      </c>
      <c r="D83" s="40">
        <v>5773</v>
      </c>
      <c r="E83" s="40">
        <v>5405</v>
      </c>
      <c r="F83" s="27">
        <f>-(F84*F41)</f>
        <v>5598.5214339599997</v>
      </c>
      <c r="G83" s="27">
        <f>-(G84*G41)</f>
        <v>5696.4955590542995</v>
      </c>
      <c r="H83" s="27">
        <f>-(H84*H41)</f>
        <v>5810.4254702353846</v>
      </c>
      <c r="I83" s="27">
        <f>-(I84*I41)</f>
        <v>5926.6339796400925</v>
      </c>
      <c r="J83" s="27">
        <f>-(J84*J41)</f>
        <v>6045.1666592328947</v>
      </c>
    </row>
    <row r="84" spans="1:10" x14ac:dyDescent="0.25">
      <c r="B84" s="33" t="s">
        <v>92</v>
      </c>
      <c r="D84" s="67">
        <f>-(D83/D41)</f>
        <v>0.2741475923639472</v>
      </c>
      <c r="E84" s="67">
        <f>-(E83/E41)</f>
        <v>0.26004330045706037</v>
      </c>
      <c r="F84" s="68">
        <v>0.26</v>
      </c>
      <c r="G84" s="68">
        <v>0.26</v>
      </c>
      <c r="H84" s="68">
        <v>0.26</v>
      </c>
      <c r="I84" s="68">
        <v>0.26</v>
      </c>
      <c r="J84" s="68">
        <v>0.26</v>
      </c>
    </row>
    <row r="85" spans="1:10" x14ac:dyDescent="0.25">
      <c r="B85" s="56" t="s">
        <v>96</v>
      </c>
      <c r="D85" s="40">
        <v>957</v>
      </c>
      <c r="E85" s="40">
        <v>880</v>
      </c>
      <c r="F85" s="27">
        <f>F86*F40</f>
        <v>932.26582749999989</v>
      </c>
      <c r="G85" s="27">
        <f>G86*G40</f>
        <v>948.58047948124988</v>
      </c>
      <c r="H85" s="27">
        <f>H86*H40</f>
        <v>967.55208907087479</v>
      </c>
      <c r="I85" s="27">
        <f>I86*I40</f>
        <v>986.90313085229229</v>
      </c>
      <c r="J85" s="27">
        <f>J86*J40</f>
        <v>1006.6411934693381</v>
      </c>
    </row>
    <row r="86" spans="1:10" x14ac:dyDescent="0.25">
      <c r="B86" s="33" t="s">
        <v>93</v>
      </c>
      <c r="D86" s="67">
        <f>D85/D40</f>
        <v>2.8648405927256398E-2</v>
      </c>
      <c r="E86" s="67">
        <f>E85/E40</f>
        <v>2.6108111315492791E-2</v>
      </c>
      <c r="F86" s="68">
        <v>2.725E-2</v>
      </c>
      <c r="G86" s="68">
        <v>2.725E-2</v>
      </c>
      <c r="H86" s="68">
        <v>2.725E-2</v>
      </c>
      <c r="I86" s="68">
        <v>2.725E-2</v>
      </c>
      <c r="J86" s="68">
        <v>2.725E-2</v>
      </c>
    </row>
    <row r="87" spans="1:10" ht="5.25" customHeight="1" x14ac:dyDescent="0.25"/>
    <row r="88" spans="1:10" x14ac:dyDescent="0.25">
      <c r="B88" s="1" t="s">
        <v>94</v>
      </c>
      <c r="D88" s="55">
        <f>D77+D79+D81+-D83-D85</f>
        <v>7877</v>
      </c>
      <c r="E88" s="55">
        <f t="shared" ref="E88:J88" si="30">E77+E79+E81+-E83-E85</f>
        <v>9663</v>
      </c>
      <c r="F88" s="55">
        <f t="shared" si="30"/>
        <v>9096.2288665850028</v>
      </c>
      <c r="G88" s="55">
        <f t="shared" si="30"/>
        <v>9255.4128717502354</v>
      </c>
      <c r="H88" s="55">
        <f t="shared" si="30"/>
        <v>9440.5211291852429</v>
      </c>
      <c r="I88" s="55">
        <f t="shared" si="30"/>
        <v>9629.3315517689462</v>
      </c>
      <c r="J88" s="55">
        <f t="shared" si="30"/>
        <v>9821.9181828043256</v>
      </c>
    </row>
    <row r="89" spans="1:10" ht="5.25" customHeight="1" x14ac:dyDescent="0.25"/>
    <row r="90" spans="1:10" x14ac:dyDescent="0.25">
      <c r="A90" s="63"/>
      <c r="B90" s="64" t="s">
        <v>84</v>
      </c>
      <c r="C90" s="155" t="s">
        <v>86</v>
      </c>
      <c r="D90" s="155"/>
      <c r="E90" s="155"/>
      <c r="F90" s="156" t="s">
        <v>85</v>
      </c>
      <c r="G90" s="156"/>
      <c r="H90" s="156"/>
      <c r="I90" s="156"/>
      <c r="J90" s="156"/>
    </row>
    <row r="91" spans="1:10" ht="21" x14ac:dyDescent="0.35">
      <c r="A91" s="63"/>
      <c r="B91" s="82" t="s">
        <v>97</v>
      </c>
      <c r="C91" s="66">
        <v>2010</v>
      </c>
      <c r="D91" s="66">
        <v>2011</v>
      </c>
      <c r="E91" s="66">
        <v>2012</v>
      </c>
      <c r="F91" s="65">
        <v>2013</v>
      </c>
      <c r="G91" s="65">
        <v>2014</v>
      </c>
      <c r="H91" s="65">
        <v>2015</v>
      </c>
      <c r="I91" s="65">
        <v>2016</v>
      </c>
      <c r="J91" s="65">
        <v>2017</v>
      </c>
    </row>
    <row r="92" spans="1:10" ht="5.25" customHeight="1" x14ac:dyDescent="0.25"/>
    <row r="93" spans="1:10" x14ac:dyDescent="0.25">
      <c r="B93" s="56" t="s">
        <v>98</v>
      </c>
      <c r="C93" s="69"/>
      <c r="D93" s="70">
        <v>6542</v>
      </c>
      <c r="E93" s="70">
        <v>5814</v>
      </c>
      <c r="F93" s="69">
        <f>E93+F94+F95</f>
        <v>6681.5203934250003</v>
      </c>
      <c r="G93" s="69">
        <f t="shared" ref="G93:J93" si="31">F93+G94+G95</f>
        <v>7564.2223937349381</v>
      </c>
      <c r="H93" s="69">
        <f t="shared" si="31"/>
        <v>8464.5784340510745</v>
      </c>
      <c r="I93" s="69">
        <f t="shared" si="31"/>
        <v>9382.9415951735336</v>
      </c>
      <c r="J93" s="69">
        <f t="shared" si="31"/>
        <v>10319.672019518441</v>
      </c>
    </row>
    <row r="94" spans="1:10" x14ac:dyDescent="0.25">
      <c r="B94" s="1" t="s">
        <v>99</v>
      </c>
      <c r="D94" s="55">
        <f>1171</f>
        <v>1171</v>
      </c>
      <c r="E94" s="40">
        <v>939</v>
      </c>
      <c r="F94" s="27">
        <f>F96*F40</f>
        <v>1101.6131979999998</v>
      </c>
      <c r="G94" s="27">
        <f t="shared" ref="G94:J94" si="32">G96*G40</f>
        <v>1120.8914289649999</v>
      </c>
      <c r="H94" s="27">
        <f t="shared" si="32"/>
        <v>1143.3092575442997</v>
      </c>
      <c r="I94" s="27">
        <f t="shared" si="32"/>
        <v>1166.1754426951857</v>
      </c>
      <c r="J94" s="27">
        <f t="shared" si="32"/>
        <v>1189.4989515490895</v>
      </c>
    </row>
    <row r="95" spans="1:10" x14ac:dyDescent="0.25">
      <c r="B95" s="1" t="s">
        <v>100</v>
      </c>
      <c r="D95" s="40">
        <v>-222</v>
      </c>
      <c r="E95" s="40">
        <v>-221</v>
      </c>
      <c r="F95" s="27">
        <f>-(F94*F97)</f>
        <v>-234.09280457499995</v>
      </c>
      <c r="G95" s="27">
        <f>-(G94*G97)</f>
        <v>-238.18942865506247</v>
      </c>
      <c r="H95" s="27">
        <f>-(H94*H97)</f>
        <v>-242.95321722816368</v>
      </c>
      <c r="I95" s="27">
        <f>-(I94*I97)</f>
        <v>-247.81228157272696</v>
      </c>
      <c r="J95" s="27">
        <f>-(J94*J97)</f>
        <v>-252.76852720418151</v>
      </c>
    </row>
    <row r="96" spans="1:10" x14ac:dyDescent="0.25">
      <c r="B96" s="33" t="s">
        <v>101</v>
      </c>
      <c r="D96" s="35">
        <f>D94/D40</f>
        <v>3.5054632540038919E-2</v>
      </c>
      <c r="E96" s="35">
        <f>E94/E40</f>
        <v>2.7858541505963331E-2</v>
      </c>
      <c r="F96" s="39">
        <v>3.2199999999999999E-2</v>
      </c>
      <c r="G96" s="39">
        <v>3.2199999999999999E-2</v>
      </c>
      <c r="H96" s="39">
        <v>3.2199999999999999E-2</v>
      </c>
      <c r="I96" s="39">
        <v>3.2199999999999999E-2</v>
      </c>
      <c r="J96" s="39">
        <v>3.2199999999999999E-2</v>
      </c>
    </row>
    <row r="97" spans="1:10" x14ac:dyDescent="0.25">
      <c r="B97" s="33" t="s">
        <v>102</v>
      </c>
      <c r="D97" s="35">
        <f>-(D95/D94)</f>
        <v>0.18958155422715628</v>
      </c>
      <c r="E97" s="35">
        <f>-(E95/E94)</f>
        <v>0.23535676251331203</v>
      </c>
      <c r="F97" s="39">
        <v>0.21249999999999999</v>
      </c>
      <c r="G97" s="39">
        <v>0.21249999999999999</v>
      </c>
      <c r="H97" s="39">
        <v>0.21249999999999999</v>
      </c>
      <c r="I97" s="39">
        <v>0.21249999999999999</v>
      </c>
      <c r="J97" s="39">
        <v>0.21249999999999999</v>
      </c>
    </row>
    <row r="98" spans="1:10" ht="5.25" customHeight="1" x14ac:dyDescent="0.25"/>
    <row r="99" spans="1:10" x14ac:dyDescent="0.25">
      <c r="B99" s="56" t="s">
        <v>105</v>
      </c>
      <c r="C99" s="69"/>
      <c r="D99" s="70">
        <v>14697</v>
      </c>
      <c r="E99" s="70">
        <v>7133</v>
      </c>
      <c r="F99" s="150">
        <f>E99+F100+F101</f>
        <v>7133</v>
      </c>
      <c r="G99" s="150">
        <f t="shared" ref="G99:J99" si="33">F99+G100+G101</f>
        <v>7133</v>
      </c>
      <c r="H99" s="150">
        <f t="shared" si="33"/>
        <v>7133</v>
      </c>
      <c r="I99" s="150">
        <f t="shared" si="33"/>
        <v>7133</v>
      </c>
      <c r="J99" s="150">
        <f t="shared" si="33"/>
        <v>7133</v>
      </c>
    </row>
    <row r="100" spans="1:10" x14ac:dyDescent="0.25">
      <c r="B100" s="1" t="s">
        <v>106</v>
      </c>
      <c r="D100" s="40">
        <v>0</v>
      </c>
      <c r="E100" s="40">
        <v>0</v>
      </c>
      <c r="F100" s="40">
        <v>200</v>
      </c>
      <c r="G100" s="40">
        <v>191</v>
      </c>
      <c r="H100" s="40">
        <v>183</v>
      </c>
      <c r="I100" s="40">
        <v>163</v>
      </c>
      <c r="J100" s="40">
        <v>130</v>
      </c>
    </row>
    <row r="101" spans="1:10" x14ac:dyDescent="0.25">
      <c r="B101" s="1" t="s">
        <v>107</v>
      </c>
      <c r="D101" s="40">
        <v>-172</v>
      </c>
      <c r="E101" s="40">
        <v>-190</v>
      </c>
      <c r="F101" s="40">
        <v>-200</v>
      </c>
      <c r="G101" s="40">
        <v>-191</v>
      </c>
      <c r="H101" s="40">
        <v>-183</v>
      </c>
      <c r="I101" s="40">
        <v>-163</v>
      </c>
      <c r="J101" s="40">
        <v>-130</v>
      </c>
    </row>
    <row r="102" spans="1:10" ht="5.25" customHeight="1" x14ac:dyDescent="0.25"/>
    <row r="103" spans="1:10" x14ac:dyDescent="0.25">
      <c r="B103" s="56" t="s">
        <v>210</v>
      </c>
      <c r="C103" s="69"/>
      <c r="D103" s="70">
        <v>14697</v>
      </c>
      <c r="E103" s="70">
        <v>13174</v>
      </c>
      <c r="F103" s="70">
        <v>13174</v>
      </c>
      <c r="G103" s="70">
        <v>13174</v>
      </c>
      <c r="H103" s="70">
        <v>13174</v>
      </c>
      <c r="I103" s="70">
        <v>13174</v>
      </c>
      <c r="J103" s="70">
        <v>13174</v>
      </c>
    </row>
    <row r="104" spans="1:10" ht="5.25" customHeight="1" x14ac:dyDescent="0.25"/>
    <row r="105" spans="1:10" x14ac:dyDescent="0.25">
      <c r="B105" s="56" t="s">
        <v>108</v>
      </c>
      <c r="C105" s="69"/>
      <c r="D105" s="70">
        <v>2908</v>
      </c>
      <c r="E105" s="70">
        <v>15382</v>
      </c>
      <c r="F105" s="70">
        <v>15382</v>
      </c>
      <c r="G105" s="70">
        <v>15382</v>
      </c>
      <c r="H105" s="70">
        <v>15382</v>
      </c>
      <c r="I105" s="70">
        <v>15382</v>
      </c>
      <c r="J105" s="70">
        <v>15382</v>
      </c>
    </row>
    <row r="106" spans="1:10" ht="5.25" customHeight="1" x14ac:dyDescent="0.25"/>
    <row r="107" spans="1:10" x14ac:dyDescent="0.25">
      <c r="A107" s="2"/>
      <c r="B107" s="3" t="s">
        <v>84</v>
      </c>
      <c r="C107" s="153" t="s">
        <v>86</v>
      </c>
      <c r="D107" s="153"/>
      <c r="E107" s="153"/>
      <c r="F107" s="154" t="s">
        <v>85</v>
      </c>
      <c r="G107" s="154"/>
      <c r="H107" s="154"/>
      <c r="I107" s="154"/>
      <c r="J107" s="154"/>
    </row>
    <row r="108" spans="1:10" ht="31.5" x14ac:dyDescent="0.5">
      <c r="A108" s="2"/>
      <c r="B108" s="60" t="s">
        <v>109</v>
      </c>
      <c r="C108" s="62">
        <v>2010</v>
      </c>
      <c r="D108" s="62">
        <v>2011</v>
      </c>
      <c r="E108" s="62">
        <v>2012</v>
      </c>
      <c r="F108" s="61">
        <v>2013</v>
      </c>
      <c r="G108" s="61">
        <v>2014</v>
      </c>
      <c r="H108" s="61">
        <v>2015</v>
      </c>
      <c r="I108" s="61">
        <v>2016</v>
      </c>
      <c r="J108" s="61">
        <v>2017</v>
      </c>
    </row>
    <row r="109" spans="1:10" ht="5.25" customHeight="1" x14ac:dyDescent="0.25"/>
    <row r="110" spans="1:10" x14ac:dyDescent="0.25">
      <c r="B110" s="1" t="s">
        <v>70</v>
      </c>
      <c r="F110" s="27">
        <f ca="1">F57</f>
        <v>3309.2903957448216</v>
      </c>
      <c r="G110" s="27">
        <f t="shared" ref="G110:J110" ca="1" si="34">G57</f>
        <v>3626.5214319220704</v>
      </c>
      <c r="H110" s="27">
        <f t="shared" ca="1" si="34"/>
        <v>3973.0350475628688</v>
      </c>
      <c r="I110" s="27">
        <f t="shared" ca="1" si="34"/>
        <v>4267.2545786493329</v>
      </c>
      <c r="J110" s="27">
        <f t="shared" ca="1" si="34"/>
        <v>4675.1266545595663</v>
      </c>
    </row>
    <row r="111" spans="1:10" x14ac:dyDescent="0.25">
      <c r="B111" s="1" t="s">
        <v>80</v>
      </c>
      <c r="F111" s="27">
        <f>F68</f>
        <v>434.09280457499995</v>
      </c>
      <c r="G111" s="27">
        <f t="shared" ref="G111:J111" si="35">G68</f>
        <v>429.18942865506244</v>
      </c>
      <c r="H111" s="27">
        <f t="shared" si="35"/>
        <v>425.95321722816368</v>
      </c>
      <c r="I111" s="27">
        <f t="shared" si="35"/>
        <v>410.81228157272699</v>
      </c>
      <c r="J111" s="27">
        <f t="shared" si="35"/>
        <v>382.76852720418151</v>
      </c>
    </row>
    <row r="112" spans="1:10" x14ac:dyDescent="0.25">
      <c r="B112" s="1" t="s">
        <v>81</v>
      </c>
      <c r="F112" s="27">
        <f>F46</f>
        <v>0</v>
      </c>
      <c r="G112" s="27">
        <f t="shared" ref="G112:J112" si="36">G46</f>
        <v>0</v>
      </c>
      <c r="H112" s="27">
        <f t="shared" si="36"/>
        <v>0</v>
      </c>
      <c r="I112" s="27">
        <f t="shared" si="36"/>
        <v>0</v>
      </c>
      <c r="J112" s="27">
        <f t="shared" si="36"/>
        <v>0</v>
      </c>
    </row>
    <row r="113" spans="2:10" x14ac:dyDescent="0.25">
      <c r="B113" s="1" t="s">
        <v>77</v>
      </c>
      <c r="F113" s="27">
        <f>F70</f>
        <v>228.58500463659999</v>
      </c>
      <c r="G113" s="27">
        <f t="shared" ref="G113:J113" si="37">G70</f>
        <v>232.48524221774048</v>
      </c>
      <c r="H113" s="27">
        <f t="shared" si="37"/>
        <v>237.04038706209525</v>
      </c>
      <c r="I113" s="27">
        <f t="shared" si="37"/>
        <v>241.59191480333718</v>
      </c>
      <c r="J113" s="27">
        <f t="shared" si="37"/>
        <v>246.13367309940392</v>
      </c>
    </row>
    <row r="114" spans="2:10" x14ac:dyDescent="0.25">
      <c r="B114" s="1" t="s">
        <v>110</v>
      </c>
      <c r="F114" s="27">
        <f>E88-F88</f>
        <v>566.77113341499717</v>
      </c>
      <c r="G114" s="27">
        <f t="shared" ref="G114:J114" si="38">F88-G88</f>
        <v>-159.18400516523252</v>
      </c>
      <c r="H114" s="27">
        <f t="shared" si="38"/>
        <v>-185.10825743500754</v>
      </c>
      <c r="I114" s="27">
        <f t="shared" si="38"/>
        <v>-188.81042258370326</v>
      </c>
      <c r="J114" s="27">
        <f t="shared" si="38"/>
        <v>-192.58663103537947</v>
      </c>
    </row>
    <row r="115" spans="2:10" x14ac:dyDescent="0.25">
      <c r="B115" s="1" t="s">
        <v>111</v>
      </c>
      <c r="F115" s="27">
        <f>E103-F103+E105-F105</f>
        <v>0</v>
      </c>
      <c r="G115" s="27">
        <f t="shared" ref="G115:J115" si="39">F103-G103+F105-G105</f>
        <v>0</v>
      </c>
      <c r="H115" s="27">
        <f t="shared" si="39"/>
        <v>0</v>
      </c>
      <c r="I115" s="27">
        <f t="shared" si="39"/>
        <v>0</v>
      </c>
      <c r="J115" s="27">
        <f t="shared" si="39"/>
        <v>0</v>
      </c>
    </row>
    <row r="116" spans="2:10" x14ac:dyDescent="0.25">
      <c r="B116" s="1" t="s">
        <v>112</v>
      </c>
      <c r="F116" s="27"/>
      <c r="G116" s="27"/>
      <c r="H116" s="27"/>
      <c r="I116" s="27"/>
      <c r="J116" s="27"/>
    </row>
    <row r="117" spans="2:10" x14ac:dyDescent="0.25">
      <c r="B117" s="1" t="s">
        <v>113</v>
      </c>
      <c r="F117" s="27">
        <f>F185</f>
        <v>0</v>
      </c>
      <c r="G117" s="27">
        <f t="shared" ref="G117:J117" si="40">G185</f>
        <v>0</v>
      </c>
      <c r="H117" s="27">
        <f t="shared" si="40"/>
        <v>0</v>
      </c>
      <c r="I117" s="27">
        <f t="shared" si="40"/>
        <v>0</v>
      </c>
      <c r="J117" s="27">
        <f t="shared" si="40"/>
        <v>0</v>
      </c>
    </row>
    <row r="118" spans="2:10" x14ac:dyDescent="0.25">
      <c r="B118" s="13" t="s">
        <v>114</v>
      </c>
      <c r="C118" s="13"/>
      <c r="D118" s="13"/>
      <c r="E118" s="13"/>
      <c r="F118" s="52">
        <f ca="1">SUM(F110:F117)</f>
        <v>4538.7393383714189</v>
      </c>
      <c r="G118" s="52">
        <f t="shared" ref="G118:J118" ca="1" si="41">SUM(G110:G117)</f>
        <v>4129.0120976296403</v>
      </c>
      <c r="H118" s="52">
        <f t="shared" ca="1" si="41"/>
        <v>4450.9203944181199</v>
      </c>
      <c r="I118" s="52">
        <f t="shared" ca="1" si="41"/>
        <v>4730.8483524416934</v>
      </c>
      <c r="J118" s="52">
        <f t="shared" ca="1" si="41"/>
        <v>5111.4422238277721</v>
      </c>
    </row>
    <row r="119" spans="2:10" ht="5.25" customHeight="1" x14ac:dyDescent="0.25"/>
    <row r="120" spans="2:10" x14ac:dyDescent="0.25">
      <c r="B120" s="1" t="s">
        <v>99</v>
      </c>
      <c r="F120" s="27">
        <f>-F94</f>
        <v>-1101.6131979999998</v>
      </c>
      <c r="G120" s="27">
        <f t="shared" ref="G120:J120" si="42">-G94</f>
        <v>-1120.8914289649999</v>
      </c>
      <c r="H120" s="27">
        <f t="shared" si="42"/>
        <v>-1143.3092575442997</v>
      </c>
      <c r="I120" s="27">
        <f t="shared" si="42"/>
        <v>-1166.1754426951857</v>
      </c>
      <c r="J120" s="27">
        <f t="shared" si="42"/>
        <v>-1189.4989515490895</v>
      </c>
    </row>
    <row r="121" spans="2:10" x14ac:dyDescent="0.25">
      <c r="B121" s="1" t="s">
        <v>115</v>
      </c>
      <c r="F121" s="27">
        <f>-F100</f>
        <v>-200</v>
      </c>
      <c r="G121" s="27">
        <f t="shared" ref="G121:J121" si="43">-G100</f>
        <v>-191</v>
      </c>
      <c r="H121" s="27">
        <f t="shared" si="43"/>
        <v>-183</v>
      </c>
      <c r="I121" s="27">
        <f t="shared" si="43"/>
        <v>-163</v>
      </c>
      <c r="J121" s="27">
        <f t="shared" si="43"/>
        <v>-130</v>
      </c>
    </row>
    <row r="122" spans="2:10" x14ac:dyDescent="0.25">
      <c r="B122" s="13" t="s">
        <v>116</v>
      </c>
      <c r="C122" s="13"/>
      <c r="D122" s="13"/>
      <c r="E122" s="13"/>
      <c r="F122" s="52">
        <f>SUM(F120:F121)</f>
        <v>-1301.6131979999998</v>
      </c>
      <c r="G122" s="52">
        <f t="shared" ref="G122:J122" ca="1" si="44">G118+SUM(G120:G121)</f>
        <v>2817.1206686646401</v>
      </c>
      <c r="H122" s="52">
        <f t="shared" ca="1" si="44"/>
        <v>3124.6111368738202</v>
      </c>
      <c r="I122" s="52">
        <f t="shared" ca="1" si="44"/>
        <v>3401.6729097465077</v>
      </c>
      <c r="J122" s="52">
        <f t="shared" ca="1" si="44"/>
        <v>3791.9432722786823</v>
      </c>
    </row>
    <row r="123" spans="2:10" ht="5.25" customHeight="1" x14ac:dyDescent="0.25"/>
    <row r="124" spans="2:10" x14ac:dyDescent="0.25">
      <c r="B124" s="1" t="s">
        <v>117</v>
      </c>
      <c r="F124" s="27">
        <f>-(F159+F168+F177+F184)</f>
        <v>-3145.3587500000003</v>
      </c>
      <c r="G124" s="27">
        <f t="shared" ref="G124:J124" ca="1" si="45">-(G159+G168+G177+G184)</f>
        <v>-1676.7087500000002</v>
      </c>
      <c r="H124" s="27">
        <f t="shared" ca="1" si="45"/>
        <v>-1468.65</v>
      </c>
      <c r="I124" s="27">
        <f t="shared" ca="1" si="45"/>
        <v>-1468.65</v>
      </c>
      <c r="J124" s="27">
        <f t="shared" ca="1" si="45"/>
        <v>-1468.65</v>
      </c>
    </row>
    <row r="125" spans="2:10" x14ac:dyDescent="0.25">
      <c r="B125" s="1" t="s">
        <v>118</v>
      </c>
      <c r="F125" s="27">
        <f>-F195</f>
        <v>0</v>
      </c>
      <c r="G125" s="27">
        <f t="shared" ref="G125:J125" si="46">-G195</f>
        <v>0</v>
      </c>
      <c r="H125" s="27">
        <f t="shared" si="46"/>
        <v>0</v>
      </c>
      <c r="I125" s="27">
        <f t="shared" si="46"/>
        <v>0</v>
      </c>
      <c r="J125" s="27">
        <f t="shared" si="46"/>
        <v>0</v>
      </c>
    </row>
    <row r="126" spans="2:10" x14ac:dyDescent="0.25">
      <c r="B126" s="75" t="s">
        <v>119</v>
      </c>
      <c r="C126" s="56"/>
      <c r="D126" s="56"/>
      <c r="E126" s="56"/>
      <c r="F126" s="78">
        <f ca="1">F118+F122+SUM(F124:F125)</f>
        <v>91.767390371418514</v>
      </c>
      <c r="G126" s="78">
        <f t="shared" ref="G126:J126" ca="1" si="47">G118+G122+SUM(G124:G125)</f>
        <v>5269.4240162942806</v>
      </c>
      <c r="H126" s="78">
        <f t="shared" ca="1" si="47"/>
        <v>6106.8815312919396</v>
      </c>
      <c r="I126" s="78">
        <f t="shared" ca="1" si="47"/>
        <v>6663.8712621882005</v>
      </c>
      <c r="J126" s="78">
        <f t="shared" ca="1" si="47"/>
        <v>7434.7354961064539</v>
      </c>
    </row>
    <row r="127" spans="2:10" x14ac:dyDescent="0.25">
      <c r="B127" s="1" t="s">
        <v>38</v>
      </c>
      <c r="F127" s="12">
        <f ca="1">F151</f>
        <v>0</v>
      </c>
      <c r="G127" s="12">
        <f t="shared" ref="G127:J127" ca="1" si="48">G151</f>
        <v>0</v>
      </c>
      <c r="H127" s="12">
        <f t="shared" ca="1" si="48"/>
        <v>0</v>
      </c>
      <c r="I127" s="12">
        <f t="shared" ca="1" si="48"/>
        <v>0</v>
      </c>
      <c r="J127" s="12">
        <f t="shared" ca="1" si="48"/>
        <v>0</v>
      </c>
    </row>
    <row r="128" spans="2:10" x14ac:dyDescent="0.25">
      <c r="B128" s="75" t="s">
        <v>120</v>
      </c>
      <c r="C128" s="76"/>
      <c r="D128" s="76"/>
      <c r="E128" s="76"/>
      <c r="F128" s="78">
        <f ca="1">SUM(F126:F127)</f>
        <v>91.767390371418514</v>
      </c>
      <c r="G128" s="78">
        <f t="shared" ref="G128:J128" ca="1" si="49">SUM(G126:G127)</f>
        <v>5269.4240162942806</v>
      </c>
      <c r="H128" s="78">
        <f t="shared" ca="1" si="49"/>
        <v>6106.8815312919396</v>
      </c>
      <c r="I128" s="78">
        <f t="shared" ca="1" si="49"/>
        <v>6663.8712621882005</v>
      </c>
      <c r="J128" s="78">
        <f t="shared" ca="1" si="49"/>
        <v>7434.7354961064539</v>
      </c>
    </row>
    <row r="129" spans="1:10" x14ac:dyDescent="0.25">
      <c r="B129" s="1" t="s">
        <v>121</v>
      </c>
      <c r="F129" s="27">
        <f ca="1">-(F160)</f>
        <v>-91.767390371418514</v>
      </c>
      <c r="G129" s="27">
        <f t="shared" ref="G129:J129" ca="1" si="50">-(G160)</f>
        <v>-5085.8892355514436</v>
      </c>
      <c r="H129" s="27">
        <f t="shared" ca="1" si="50"/>
        <v>-2545.3588120347767</v>
      </c>
      <c r="I129" s="27">
        <f t="shared" ca="1" si="50"/>
        <v>-6663.8712621882005</v>
      </c>
      <c r="J129" s="27">
        <f t="shared" ca="1" si="50"/>
        <v>-6174.2132998541565</v>
      </c>
    </row>
    <row r="130" spans="1:10" x14ac:dyDescent="0.25">
      <c r="B130" s="1" t="s">
        <v>122</v>
      </c>
      <c r="F130" s="27">
        <f ca="1">-(F169)</f>
        <v>-183.53478074283703</v>
      </c>
      <c r="G130" s="27">
        <f t="shared" ref="G130:J130" ca="1" si="51">-(G169)</f>
        <v>-3561.5227192571629</v>
      </c>
      <c r="H130" s="27">
        <f t="shared" ca="1" si="51"/>
        <v>0</v>
      </c>
      <c r="I130" s="27">
        <f t="shared" ca="1" si="51"/>
        <v>0</v>
      </c>
      <c r="J130" s="27">
        <f t="shared" ca="1" si="51"/>
        <v>0</v>
      </c>
    </row>
    <row r="131" spans="1:10" ht="15.75" thickBot="1" x14ac:dyDescent="0.3">
      <c r="B131" s="53" t="s">
        <v>123</v>
      </c>
      <c r="C131" s="53"/>
      <c r="D131" s="53"/>
      <c r="E131" s="53"/>
      <c r="F131" s="77">
        <f ca="1">SUM(F128:F130)</f>
        <v>-183.53478074283703</v>
      </c>
      <c r="G131" s="77">
        <f t="shared" ref="G131:J131" ca="1" si="52">SUM(G128:G130)</f>
        <v>-3377.9879385143258</v>
      </c>
      <c r="H131" s="77">
        <f t="shared" ca="1" si="52"/>
        <v>3561.5227192571629</v>
      </c>
      <c r="I131" s="77">
        <f t="shared" ca="1" si="52"/>
        <v>0</v>
      </c>
      <c r="J131" s="77">
        <f t="shared" ca="1" si="52"/>
        <v>1260.5221962522974</v>
      </c>
    </row>
    <row r="132" spans="1:10" ht="5.25" customHeight="1" thickTop="1" x14ac:dyDescent="0.25"/>
    <row r="133" spans="1:10" x14ac:dyDescent="0.25">
      <c r="A133" s="63"/>
      <c r="B133" s="64" t="s">
        <v>84</v>
      </c>
      <c r="C133" s="155" t="s">
        <v>86</v>
      </c>
      <c r="D133" s="155"/>
      <c r="E133" s="155"/>
      <c r="F133" s="156" t="s">
        <v>85</v>
      </c>
      <c r="G133" s="156"/>
      <c r="H133" s="156"/>
      <c r="I133" s="156"/>
      <c r="J133" s="156"/>
    </row>
    <row r="134" spans="1:10" ht="21" x14ac:dyDescent="0.35">
      <c r="A134" s="63"/>
      <c r="B134" s="82" t="s">
        <v>125</v>
      </c>
      <c r="C134" s="71">
        <v>2010</v>
      </c>
      <c r="D134" s="71">
        <v>2011</v>
      </c>
      <c r="E134" s="71">
        <v>2012</v>
      </c>
      <c r="F134" s="72">
        <v>2013</v>
      </c>
      <c r="G134" s="72">
        <v>2014</v>
      </c>
      <c r="H134" s="72">
        <v>2015</v>
      </c>
      <c r="I134" s="72">
        <v>2016</v>
      </c>
      <c r="J134" s="72">
        <v>2017</v>
      </c>
    </row>
    <row r="135" spans="1:10" ht="5.25" customHeight="1" x14ac:dyDescent="0.25"/>
    <row r="136" spans="1:10" x14ac:dyDescent="0.25">
      <c r="B136" s="1" t="s">
        <v>126</v>
      </c>
      <c r="E136" s="27"/>
      <c r="F136" s="84">
        <f>D15</f>
        <v>5000</v>
      </c>
      <c r="G136" s="55">
        <f ca="1">F138</f>
        <v>4816.465219257163</v>
      </c>
      <c r="H136" s="55">
        <f t="shared" ref="H136:J136" ca="1" si="53">G138</f>
        <v>1438.4772807428371</v>
      </c>
      <c r="I136" s="55">
        <f t="shared" ca="1" si="53"/>
        <v>5000</v>
      </c>
      <c r="J136" s="55">
        <f t="shared" ca="1" si="53"/>
        <v>5000</v>
      </c>
    </row>
    <row r="137" spans="1:10" x14ac:dyDescent="0.25">
      <c r="B137" s="1" t="s">
        <v>127</v>
      </c>
      <c r="E137" s="27"/>
      <c r="F137" s="55">
        <f ca="1">F131</f>
        <v>-183.53478074283703</v>
      </c>
      <c r="G137" s="55">
        <f t="shared" ref="G137:J137" ca="1" si="54">G131</f>
        <v>-3377.9879385143258</v>
      </c>
      <c r="H137" s="55">
        <f t="shared" ca="1" si="54"/>
        <v>3561.5227192571629</v>
      </c>
      <c r="I137" s="55">
        <f t="shared" ca="1" si="54"/>
        <v>0</v>
      </c>
      <c r="J137" s="55">
        <f t="shared" ca="1" si="54"/>
        <v>1260.5221962522974</v>
      </c>
    </row>
    <row r="138" spans="1:10" x14ac:dyDescent="0.25">
      <c r="B138" s="13" t="s">
        <v>128</v>
      </c>
      <c r="C138" s="13"/>
      <c r="D138" s="13"/>
      <c r="E138" s="51">
        <f>D14</f>
        <v>16732</v>
      </c>
      <c r="F138" s="51">
        <f ca="1">SUM(F136:F137)</f>
        <v>4816.465219257163</v>
      </c>
      <c r="G138" s="51">
        <f t="shared" ref="G138:J138" ca="1" si="55">SUM(G136:G137)</f>
        <v>1438.4772807428371</v>
      </c>
      <c r="H138" s="51">
        <f t="shared" ca="1" si="55"/>
        <v>5000</v>
      </c>
      <c r="I138" s="51">
        <f t="shared" ca="1" si="55"/>
        <v>5000</v>
      </c>
      <c r="J138" s="51">
        <f t="shared" ca="1" si="55"/>
        <v>6260.5221962522974</v>
      </c>
    </row>
    <row r="139" spans="1:10" ht="5.25" customHeight="1" x14ac:dyDescent="0.25"/>
    <row r="140" spans="1:10" x14ac:dyDescent="0.25">
      <c r="B140" s="1" t="s">
        <v>129</v>
      </c>
      <c r="F140" s="36">
        <f ca="1">F141/AVERAGE(E138:F138)</f>
        <v>1.2529894693321813E-2</v>
      </c>
      <c r="G140" s="36">
        <f ca="1">F140</f>
        <v>1.2529894693321813E-2</v>
      </c>
      <c r="H140" s="36">
        <f t="shared" ref="H140:J140" ca="1" si="56">G140</f>
        <v>1.2529894693321813E-2</v>
      </c>
      <c r="I140" s="36">
        <f t="shared" ca="1" si="56"/>
        <v>1.2529894693321813E-2</v>
      </c>
      <c r="J140" s="36">
        <f t="shared" ca="1" si="56"/>
        <v>1.2529894693321813E-2</v>
      </c>
    </row>
    <row r="141" spans="1:10" x14ac:dyDescent="0.25">
      <c r="B141" s="1" t="s">
        <v>66</v>
      </c>
      <c r="E141" s="55">
        <f>E52</f>
        <v>135</v>
      </c>
      <c r="F141" s="40">
        <v>135</v>
      </c>
      <c r="G141" s="40">
        <v>135</v>
      </c>
      <c r="H141" s="40">
        <v>135</v>
      </c>
      <c r="I141" s="40">
        <v>135</v>
      </c>
      <c r="J141" s="40">
        <v>135</v>
      </c>
    </row>
    <row r="142" spans="1:10" ht="5.25" customHeight="1" x14ac:dyDescent="0.25"/>
    <row r="143" spans="1:10" x14ac:dyDescent="0.25">
      <c r="B143" s="56" t="s">
        <v>38</v>
      </c>
    </row>
    <row r="144" spans="1:10" x14ac:dyDescent="0.25">
      <c r="B144" s="1" t="s">
        <v>126</v>
      </c>
      <c r="F144" s="27">
        <f>F136</f>
        <v>5000</v>
      </c>
      <c r="G144" s="27">
        <f t="shared" ref="G144:J144" ca="1" si="57">G136</f>
        <v>4816.465219257163</v>
      </c>
      <c r="H144" s="27">
        <f t="shared" ca="1" si="57"/>
        <v>1438.4772807428371</v>
      </c>
      <c r="I144" s="27">
        <f t="shared" ca="1" si="57"/>
        <v>5000</v>
      </c>
      <c r="J144" s="27">
        <f t="shared" ca="1" si="57"/>
        <v>5000</v>
      </c>
    </row>
    <row r="145" spans="2:10" x14ac:dyDescent="0.25">
      <c r="B145" s="1" t="s">
        <v>130</v>
      </c>
      <c r="F145" s="12">
        <f>-$D$15</f>
        <v>-5000</v>
      </c>
      <c r="G145" s="12">
        <f t="shared" ref="G145:J145" si="58">-$D$15</f>
        <v>-5000</v>
      </c>
      <c r="H145" s="12">
        <f t="shared" si="58"/>
        <v>-5000</v>
      </c>
      <c r="I145" s="12">
        <f t="shared" si="58"/>
        <v>-5000</v>
      </c>
      <c r="J145" s="12">
        <f t="shared" si="58"/>
        <v>-5000</v>
      </c>
    </row>
    <row r="146" spans="2:10" x14ac:dyDescent="0.25">
      <c r="B146" s="1" t="s">
        <v>131</v>
      </c>
      <c r="F146" s="27">
        <f>SUM(F144:F145)</f>
        <v>0</v>
      </c>
      <c r="G146" s="27">
        <f t="shared" ref="G146:J146" ca="1" si="59">SUM(G144:G145)</f>
        <v>-183.53478074283703</v>
      </c>
      <c r="H146" s="27">
        <f t="shared" ca="1" si="59"/>
        <v>-3561.5227192571629</v>
      </c>
      <c r="I146" s="27">
        <f t="shared" ca="1" si="59"/>
        <v>0</v>
      </c>
      <c r="J146" s="27">
        <f t="shared" ca="1" si="59"/>
        <v>0</v>
      </c>
    </row>
    <row r="147" spans="2:10" x14ac:dyDescent="0.25">
      <c r="B147" s="1" t="s">
        <v>132</v>
      </c>
      <c r="F147" s="27">
        <f ca="1">F126</f>
        <v>91.767390371418514</v>
      </c>
      <c r="G147" s="27">
        <f t="shared" ref="G147:J147" ca="1" si="60">G126</f>
        <v>5269.4240162942806</v>
      </c>
      <c r="H147" s="27">
        <f t="shared" ca="1" si="60"/>
        <v>6106.8815312919396</v>
      </c>
      <c r="I147" s="27">
        <f t="shared" ca="1" si="60"/>
        <v>6663.8712621882005</v>
      </c>
      <c r="J147" s="27">
        <f t="shared" ca="1" si="60"/>
        <v>7434.7354961064539</v>
      </c>
    </row>
    <row r="148" spans="2:10" x14ac:dyDescent="0.25">
      <c r="B148" s="13" t="s">
        <v>133</v>
      </c>
      <c r="C148" s="13"/>
      <c r="D148" s="13"/>
      <c r="E148" s="13"/>
      <c r="F148" s="52">
        <f ca="1">SUM(F146:F147)</f>
        <v>91.767390371418514</v>
      </c>
      <c r="G148" s="52">
        <f t="shared" ref="G148:J148" ca="1" si="61">SUM(G146:G147)</f>
        <v>5085.8892355514436</v>
      </c>
      <c r="H148" s="52">
        <f t="shared" ca="1" si="61"/>
        <v>2545.3588120347767</v>
      </c>
      <c r="I148" s="52">
        <f t="shared" ca="1" si="61"/>
        <v>6663.8712621882005</v>
      </c>
      <c r="J148" s="52">
        <f t="shared" ca="1" si="61"/>
        <v>7434.7354961064539</v>
      </c>
    </row>
    <row r="149" spans="2:10" ht="5.25" customHeight="1" x14ac:dyDescent="0.25"/>
    <row r="150" spans="2:10" x14ac:dyDescent="0.25">
      <c r="B150" s="1" t="s">
        <v>134</v>
      </c>
      <c r="F150" s="87">
        <f>D27</f>
        <v>0</v>
      </c>
      <c r="G150" s="27">
        <f ca="1">F152</f>
        <v>0</v>
      </c>
      <c r="H150" s="27">
        <f t="shared" ref="H150:J150" ca="1" si="62">G152</f>
        <v>0</v>
      </c>
      <c r="I150" s="27">
        <f t="shared" ca="1" si="62"/>
        <v>0</v>
      </c>
      <c r="J150" s="27">
        <f t="shared" ca="1" si="62"/>
        <v>0</v>
      </c>
    </row>
    <row r="151" spans="2:10" x14ac:dyDescent="0.25">
      <c r="B151" s="1" t="s">
        <v>127</v>
      </c>
      <c r="F151" s="27">
        <f ca="1">-MIN(F150,F148)</f>
        <v>0</v>
      </c>
      <c r="G151" s="27">
        <f t="shared" ref="G151:J151" ca="1" si="63">-MIN(G150,G148)</f>
        <v>0</v>
      </c>
      <c r="H151" s="27">
        <f t="shared" ca="1" si="63"/>
        <v>0</v>
      </c>
      <c r="I151" s="27">
        <f t="shared" ca="1" si="63"/>
        <v>0</v>
      </c>
      <c r="J151" s="27">
        <f t="shared" ca="1" si="63"/>
        <v>0</v>
      </c>
    </row>
    <row r="152" spans="2:10" x14ac:dyDescent="0.25">
      <c r="B152" s="13" t="s">
        <v>135</v>
      </c>
      <c r="C152" s="13"/>
      <c r="D152" s="85" t="s">
        <v>138</v>
      </c>
      <c r="E152" s="85" t="s">
        <v>139</v>
      </c>
      <c r="F152" s="52">
        <f ca="1">SUM(F150:F151)</f>
        <v>0</v>
      </c>
      <c r="G152" s="52">
        <f t="shared" ref="G152:J152" ca="1" si="64">SUM(G150:G151)</f>
        <v>0</v>
      </c>
      <c r="H152" s="52">
        <f t="shared" ca="1" si="64"/>
        <v>0</v>
      </c>
      <c r="I152" s="52">
        <f t="shared" ca="1" si="64"/>
        <v>0</v>
      </c>
      <c r="J152" s="52">
        <f t="shared" ca="1" si="64"/>
        <v>0</v>
      </c>
    </row>
    <row r="153" spans="2:10" x14ac:dyDescent="0.25">
      <c r="D153" s="125">
        <v>0.8</v>
      </c>
      <c r="E153" s="125">
        <v>0.65</v>
      </c>
    </row>
    <row r="154" spans="2:10" x14ac:dyDescent="0.25">
      <c r="B154" s="33" t="s">
        <v>136</v>
      </c>
      <c r="C154" s="33"/>
      <c r="D154" s="33"/>
      <c r="E154" s="33"/>
      <c r="F154" s="33">
        <f>MIN(350,$D$153*F77+$E$153*F79)</f>
        <v>350</v>
      </c>
      <c r="G154" s="33">
        <f t="shared" ref="G154:J154" si="65">MIN(350,$D$153*G77+$E$153*G79)</f>
        <v>350</v>
      </c>
      <c r="H154" s="33">
        <f t="shared" si="65"/>
        <v>350</v>
      </c>
      <c r="I154" s="33">
        <f t="shared" si="65"/>
        <v>350</v>
      </c>
      <c r="J154" s="33">
        <f t="shared" si="65"/>
        <v>350</v>
      </c>
    </row>
    <row r="155" spans="2:10" x14ac:dyDescent="0.25">
      <c r="B155" s="33" t="s">
        <v>137</v>
      </c>
      <c r="C155" s="33"/>
      <c r="D155" s="33"/>
      <c r="E155" s="33"/>
      <c r="F155" s="86" t="str">
        <f ca="1">IF(F152&gt;F154,"OVERDRAWN","OK")</f>
        <v>OK</v>
      </c>
      <c r="G155" s="86" t="str">
        <f t="shared" ref="G155:J155" ca="1" si="66">IF(G152&gt;G154,"OVERDRAWN","OK")</f>
        <v>OK</v>
      </c>
      <c r="H155" s="86" t="str">
        <f t="shared" ca="1" si="66"/>
        <v>OK</v>
      </c>
      <c r="I155" s="86" t="str">
        <f t="shared" ca="1" si="66"/>
        <v>OK</v>
      </c>
      <c r="J155" s="86" t="str">
        <f t="shared" ca="1" si="66"/>
        <v>OK</v>
      </c>
    </row>
    <row r="156" spans="2:10" ht="5.25" customHeight="1" x14ac:dyDescent="0.25"/>
    <row r="157" spans="2:10" x14ac:dyDescent="0.25">
      <c r="B157" s="56" t="s">
        <v>140</v>
      </c>
    </row>
    <row r="158" spans="2:10" x14ac:dyDescent="0.25">
      <c r="B158" s="1" t="s">
        <v>141</v>
      </c>
      <c r="F158" s="87">
        <f>D28</f>
        <v>29373</v>
      </c>
      <c r="G158" s="27">
        <f ca="1">F161</f>
        <v>26343.93260962858</v>
      </c>
      <c r="H158" s="27">
        <f t="shared" ref="H158:J158" ca="1" si="67">G161</f>
        <v>19789.393374077135</v>
      </c>
      <c r="I158" s="27">
        <f t="shared" ca="1" si="67"/>
        <v>15775.384562042356</v>
      </c>
      <c r="J158" s="27">
        <f t="shared" ca="1" si="67"/>
        <v>7642.8632998541561</v>
      </c>
    </row>
    <row r="159" spans="2:10" x14ac:dyDescent="0.25">
      <c r="B159" s="1" t="s">
        <v>169</v>
      </c>
      <c r="F159" s="27">
        <f>MIN($F$158*F163,F158)</f>
        <v>2937.3</v>
      </c>
      <c r="G159" s="27">
        <f t="shared" ref="G159:J159" ca="1" si="68">MIN($F$158*G163,G158)</f>
        <v>1468.65</v>
      </c>
      <c r="H159" s="27">
        <f t="shared" ca="1" si="68"/>
        <v>1468.65</v>
      </c>
      <c r="I159" s="27">
        <f t="shared" ca="1" si="68"/>
        <v>1468.65</v>
      </c>
      <c r="J159" s="27">
        <f t="shared" ca="1" si="68"/>
        <v>1468.65</v>
      </c>
    </row>
    <row r="160" spans="2:10" x14ac:dyDescent="0.25">
      <c r="B160" s="1" t="s">
        <v>146</v>
      </c>
      <c r="F160" s="27">
        <f ca="1">MIN(F164,F158-F159)</f>
        <v>91.767390371418514</v>
      </c>
      <c r="G160" s="27">
        <f t="shared" ref="G160:J160" ca="1" si="69">MIN(G164,G158-G159)</f>
        <v>5085.8892355514436</v>
      </c>
      <c r="H160" s="27">
        <f t="shared" ca="1" si="69"/>
        <v>2545.3588120347767</v>
      </c>
      <c r="I160" s="27">
        <f t="shared" ca="1" si="69"/>
        <v>6663.8712621882005</v>
      </c>
      <c r="J160" s="27">
        <f t="shared" ca="1" si="69"/>
        <v>6174.2132998541565</v>
      </c>
    </row>
    <row r="161" spans="2:10" x14ac:dyDescent="0.25">
      <c r="B161" s="13" t="s">
        <v>143</v>
      </c>
      <c r="C161" s="13"/>
      <c r="D161" s="13"/>
      <c r="E161" s="85" t="s">
        <v>147</v>
      </c>
      <c r="F161" s="52">
        <f ca="1">F158-F159-F160</f>
        <v>26343.93260962858</v>
      </c>
      <c r="G161" s="52">
        <f t="shared" ref="G161:J161" ca="1" si="70">G158-G159-G160</f>
        <v>19789.393374077135</v>
      </c>
      <c r="H161" s="52">
        <f t="shared" ca="1" si="70"/>
        <v>15775.384562042356</v>
      </c>
      <c r="I161" s="52">
        <f t="shared" ca="1" si="70"/>
        <v>7642.8632998541561</v>
      </c>
      <c r="J161" s="52">
        <f t="shared" ca="1" si="70"/>
        <v>0</v>
      </c>
    </row>
    <row r="162" spans="2:10" x14ac:dyDescent="0.25">
      <c r="E162" s="68">
        <v>1</v>
      </c>
    </row>
    <row r="163" spans="2:10" x14ac:dyDescent="0.25">
      <c r="B163" s="33" t="s">
        <v>144</v>
      </c>
      <c r="C163" s="33"/>
      <c r="D163" s="33"/>
      <c r="F163" s="68">
        <v>0.1</v>
      </c>
      <c r="G163" s="68">
        <v>0.05</v>
      </c>
      <c r="H163" s="68">
        <v>0.05</v>
      </c>
      <c r="I163" s="68">
        <v>0.05</v>
      </c>
      <c r="J163" s="68">
        <v>0.05</v>
      </c>
    </row>
    <row r="164" spans="2:10" x14ac:dyDescent="0.25">
      <c r="B164" s="33" t="s">
        <v>145</v>
      </c>
      <c r="C164" s="33"/>
      <c r="D164" s="33"/>
      <c r="E164" s="33"/>
      <c r="F164" s="88">
        <f ca="1">$E$162*(F151+F148)</f>
        <v>91.767390371418514</v>
      </c>
      <c r="G164" s="88">
        <f t="shared" ref="G164:J164" ca="1" si="71">$E$162*(G151+G148)</f>
        <v>5085.8892355514436</v>
      </c>
      <c r="H164" s="88">
        <f t="shared" ca="1" si="71"/>
        <v>2545.3588120347767</v>
      </c>
      <c r="I164" s="88">
        <f t="shared" ca="1" si="71"/>
        <v>6663.8712621882005</v>
      </c>
      <c r="J164" s="88">
        <f t="shared" ca="1" si="71"/>
        <v>7434.7354961064539</v>
      </c>
    </row>
    <row r="165" spans="2:10" ht="5.25" customHeight="1" x14ac:dyDescent="0.25"/>
    <row r="166" spans="2:10" x14ac:dyDescent="0.25">
      <c r="B166" s="56" t="s">
        <v>148</v>
      </c>
    </row>
    <row r="167" spans="2:10" x14ac:dyDescent="0.25">
      <c r="B167" s="1" t="s">
        <v>149</v>
      </c>
      <c r="F167" s="87">
        <f>D29</f>
        <v>4161.1750000000002</v>
      </c>
      <c r="G167" s="27">
        <f ca="1">F170</f>
        <v>3769.581469257163</v>
      </c>
      <c r="H167" s="27">
        <f t="shared" ref="H167:J167" ca="1" si="72">G170</f>
        <v>0</v>
      </c>
      <c r="I167" s="27">
        <f t="shared" ca="1" si="72"/>
        <v>0</v>
      </c>
      <c r="J167" s="27">
        <f t="shared" ca="1" si="72"/>
        <v>0</v>
      </c>
    </row>
    <row r="168" spans="2:10" x14ac:dyDescent="0.25">
      <c r="B168" s="1" t="s">
        <v>142</v>
      </c>
      <c r="F168" s="27">
        <f>MIN(F167,$F$167*F172)</f>
        <v>208.05875000000003</v>
      </c>
      <c r="G168" s="27">
        <f ca="1">MIN(G167,$F$167*G172)</f>
        <v>208.05875000000003</v>
      </c>
      <c r="H168" s="27">
        <f t="shared" ref="H168:J168" ca="1" si="73">MIN(H167,$F$167*H172)</f>
        <v>0</v>
      </c>
      <c r="I168" s="27">
        <f t="shared" ca="1" si="73"/>
        <v>0</v>
      </c>
      <c r="J168" s="27">
        <f t="shared" ca="1" si="73"/>
        <v>0</v>
      </c>
    </row>
    <row r="169" spans="2:10" x14ac:dyDescent="0.25">
      <c r="B169" s="1" t="s">
        <v>146</v>
      </c>
      <c r="F169" s="27">
        <f ca="1">MIN(F173,F167-F168)</f>
        <v>183.53478074283703</v>
      </c>
      <c r="G169" s="27">
        <f ca="1">MIN(G173,G167-G168)</f>
        <v>3561.5227192571629</v>
      </c>
      <c r="H169" s="27">
        <f t="shared" ref="H169:J169" ca="1" si="74">MIN(H173,H167-H168)</f>
        <v>0</v>
      </c>
      <c r="I169" s="27">
        <f t="shared" ca="1" si="74"/>
        <v>0</v>
      </c>
      <c r="J169" s="27">
        <f t="shared" ca="1" si="74"/>
        <v>0</v>
      </c>
    </row>
    <row r="170" spans="2:10" x14ac:dyDescent="0.25">
      <c r="B170" s="13" t="s">
        <v>150</v>
      </c>
      <c r="C170" s="13"/>
      <c r="D170" s="13"/>
      <c r="E170" s="85" t="s">
        <v>147</v>
      </c>
      <c r="F170" s="52">
        <f ca="1">F167-F168-F169</f>
        <v>3769.581469257163</v>
      </c>
      <c r="G170" s="52">
        <f ca="1">G167-G168-G169</f>
        <v>0</v>
      </c>
      <c r="H170" s="52">
        <f t="shared" ref="H170:J170" ca="1" si="75">H167-H168-H169</f>
        <v>0</v>
      </c>
      <c r="I170" s="52">
        <f t="shared" ca="1" si="75"/>
        <v>0</v>
      </c>
      <c r="J170" s="52">
        <f t="shared" ca="1" si="75"/>
        <v>0</v>
      </c>
    </row>
    <row r="171" spans="2:10" x14ac:dyDescent="0.25">
      <c r="E171" s="68">
        <v>1</v>
      </c>
    </row>
    <row r="172" spans="2:10" x14ac:dyDescent="0.25">
      <c r="B172" s="33" t="s">
        <v>144</v>
      </c>
      <c r="C172" s="33"/>
      <c r="D172" s="33"/>
      <c r="E172" s="33"/>
      <c r="F172" s="68">
        <v>0.05</v>
      </c>
      <c r="G172" s="68">
        <v>0.05</v>
      </c>
      <c r="H172" s="68">
        <v>0.05</v>
      </c>
      <c r="I172" s="68">
        <v>0.05</v>
      </c>
      <c r="J172" s="68">
        <v>0.05</v>
      </c>
    </row>
    <row r="173" spans="2:10" x14ac:dyDescent="0.25">
      <c r="B173" s="33" t="s">
        <v>151</v>
      </c>
      <c r="C173" s="33"/>
      <c r="D173" s="33"/>
      <c r="E173" s="33"/>
      <c r="F173" s="88">
        <f ca="1">$E$171*(F148+F151+F160)</f>
        <v>183.53478074283703</v>
      </c>
      <c r="G173" s="88">
        <f t="shared" ref="G173:J173" ca="1" si="76">$E$171*(G148+G151+G160)</f>
        <v>10171.778471102887</v>
      </c>
      <c r="H173" s="88">
        <f t="shared" ca="1" si="76"/>
        <v>5090.7176240695535</v>
      </c>
      <c r="I173" s="88">
        <f t="shared" ca="1" si="76"/>
        <v>13327.742524376401</v>
      </c>
      <c r="J173" s="88">
        <f t="shared" ca="1" si="76"/>
        <v>13608.94879596061</v>
      </c>
    </row>
    <row r="174" spans="2:10" ht="5.25" customHeight="1" x14ac:dyDescent="0.25"/>
    <row r="175" spans="2:10" x14ac:dyDescent="0.25">
      <c r="B175" s="56" t="s">
        <v>152</v>
      </c>
    </row>
    <row r="176" spans="2:10" x14ac:dyDescent="0.25">
      <c r="B176" s="1" t="s">
        <v>153</v>
      </c>
      <c r="F176" s="87">
        <f>D30</f>
        <v>3035.21</v>
      </c>
      <c r="G176" s="27">
        <f>F178</f>
        <v>3035.21</v>
      </c>
      <c r="H176" s="27">
        <f t="shared" ref="H176:J176" si="77">G178</f>
        <v>3035.21</v>
      </c>
      <c r="I176" s="27">
        <f t="shared" si="77"/>
        <v>3035.21</v>
      </c>
      <c r="J176" s="27">
        <f t="shared" si="77"/>
        <v>3035.21</v>
      </c>
    </row>
    <row r="177" spans="2:10" x14ac:dyDescent="0.25">
      <c r="B177" s="1" t="s">
        <v>142</v>
      </c>
      <c r="F177" s="27">
        <f>MIN(F180*$F$176,F176)</f>
        <v>0</v>
      </c>
      <c r="G177" s="27">
        <f t="shared" ref="G177:J177" si="78">MIN(G180*$F$176,G176)</f>
        <v>0</v>
      </c>
      <c r="H177" s="27">
        <f t="shared" si="78"/>
        <v>0</v>
      </c>
      <c r="I177" s="27">
        <f t="shared" si="78"/>
        <v>0</v>
      </c>
      <c r="J177" s="27">
        <f t="shared" si="78"/>
        <v>0</v>
      </c>
    </row>
    <row r="178" spans="2:10" x14ac:dyDescent="0.25">
      <c r="B178" s="13" t="s">
        <v>154</v>
      </c>
      <c r="C178" s="13"/>
      <c r="D178" s="13"/>
      <c r="E178" s="13"/>
      <c r="F178" s="52">
        <f>F176-F177</f>
        <v>3035.21</v>
      </c>
      <c r="G178" s="52">
        <f t="shared" ref="G178:J178" si="79">G176-G177</f>
        <v>3035.21</v>
      </c>
      <c r="H178" s="52">
        <f t="shared" si="79"/>
        <v>3035.21</v>
      </c>
      <c r="I178" s="52">
        <f t="shared" si="79"/>
        <v>3035.21</v>
      </c>
      <c r="J178" s="52">
        <f t="shared" si="79"/>
        <v>3035.21</v>
      </c>
    </row>
    <row r="179" spans="2:10" ht="5.25" customHeight="1" x14ac:dyDescent="0.25"/>
    <row r="180" spans="2:10" x14ac:dyDescent="0.25">
      <c r="B180" s="33" t="s">
        <v>144</v>
      </c>
      <c r="C180" s="33"/>
      <c r="D180" s="33"/>
      <c r="E180" s="33"/>
      <c r="F180" s="68">
        <v>0</v>
      </c>
      <c r="G180" s="68">
        <v>0</v>
      </c>
      <c r="H180" s="68">
        <v>0</v>
      </c>
      <c r="I180" s="68">
        <v>0</v>
      </c>
      <c r="J180" s="68">
        <v>0</v>
      </c>
    </row>
    <row r="181" spans="2:10" ht="5.25" customHeight="1" x14ac:dyDescent="0.25"/>
    <row r="182" spans="2:10" x14ac:dyDescent="0.25">
      <c r="B182" s="56" t="s">
        <v>155</v>
      </c>
    </row>
    <row r="183" spans="2:10" x14ac:dyDescent="0.25">
      <c r="B183" s="1" t="s">
        <v>156</v>
      </c>
      <c r="F183" s="87">
        <f>D31</f>
        <v>0</v>
      </c>
      <c r="G183" s="27">
        <f>F186</f>
        <v>0</v>
      </c>
      <c r="H183" s="27">
        <f t="shared" ref="H183:J183" si="80">G186</f>
        <v>0</v>
      </c>
      <c r="I183" s="27">
        <f t="shared" si="80"/>
        <v>0</v>
      </c>
      <c r="J183" s="27">
        <f t="shared" si="80"/>
        <v>0</v>
      </c>
    </row>
    <row r="184" spans="2:10" x14ac:dyDescent="0.25">
      <c r="B184" s="1" t="s">
        <v>142</v>
      </c>
      <c r="C184" s="80" t="s">
        <v>159</v>
      </c>
      <c r="D184" s="80" t="s">
        <v>160</v>
      </c>
      <c r="F184" s="27">
        <f>MIN($F$183*F188,F183)</f>
        <v>0</v>
      </c>
      <c r="G184" s="27">
        <f t="shared" ref="G184:J184" si="81">MIN($F$183*G188,G183)</f>
        <v>0</v>
      </c>
      <c r="H184" s="27">
        <f t="shared" si="81"/>
        <v>0</v>
      </c>
      <c r="I184" s="27">
        <f t="shared" si="81"/>
        <v>0</v>
      </c>
      <c r="J184" s="27">
        <f t="shared" si="81"/>
        <v>0</v>
      </c>
    </row>
    <row r="185" spans="2:10" x14ac:dyDescent="0.25">
      <c r="B185" s="33" t="s">
        <v>157</v>
      </c>
      <c r="C185" s="68">
        <v>0.04</v>
      </c>
      <c r="D185" s="68">
        <v>0.08</v>
      </c>
      <c r="E185" s="33"/>
      <c r="F185" s="88">
        <f>$C$185*(F183-F184)</f>
        <v>0</v>
      </c>
      <c r="G185" s="88">
        <f t="shared" ref="G185:J185" si="82">$C$185*(G183-G184)</f>
        <v>0</v>
      </c>
      <c r="H185" s="88">
        <f t="shared" si="82"/>
        <v>0</v>
      </c>
      <c r="I185" s="88">
        <f t="shared" si="82"/>
        <v>0</v>
      </c>
      <c r="J185" s="88">
        <f t="shared" si="82"/>
        <v>0</v>
      </c>
    </row>
    <row r="186" spans="2:10" x14ac:dyDescent="0.25">
      <c r="B186" s="13" t="s">
        <v>158</v>
      </c>
      <c r="C186" s="13"/>
      <c r="D186" s="13"/>
      <c r="E186" s="13"/>
      <c r="F186" s="52">
        <f>F183-F184+F185</f>
        <v>0</v>
      </c>
      <c r="G186" s="52">
        <f t="shared" ref="G186:J186" si="83">G183-G184+G185</f>
        <v>0</v>
      </c>
      <c r="H186" s="52">
        <f t="shared" si="83"/>
        <v>0</v>
      </c>
      <c r="I186" s="52">
        <f t="shared" si="83"/>
        <v>0</v>
      </c>
      <c r="J186" s="52">
        <f t="shared" si="83"/>
        <v>0</v>
      </c>
    </row>
    <row r="187" spans="2:10" ht="5.25" customHeight="1" x14ac:dyDescent="0.25"/>
    <row r="188" spans="2:10" x14ac:dyDescent="0.25">
      <c r="B188" s="33" t="s">
        <v>144</v>
      </c>
      <c r="F188" s="35">
        <v>0</v>
      </c>
      <c r="G188" s="35">
        <v>0</v>
      </c>
      <c r="H188" s="35">
        <v>0</v>
      </c>
      <c r="I188" s="35">
        <v>0</v>
      </c>
      <c r="J188" s="35">
        <v>0</v>
      </c>
    </row>
    <row r="189" spans="2:10" ht="5.25" customHeight="1" x14ac:dyDescent="0.25"/>
    <row r="190" spans="2:10" x14ac:dyDescent="0.25">
      <c r="B190" s="56" t="s">
        <v>161</v>
      </c>
    </row>
    <row r="191" spans="2:10" x14ac:dyDescent="0.25">
      <c r="B191" s="1" t="s">
        <v>162</v>
      </c>
      <c r="F191" s="83">
        <f>D32</f>
        <v>0</v>
      </c>
      <c r="G191" s="12">
        <f>F193</f>
        <v>0</v>
      </c>
      <c r="H191" s="12">
        <f t="shared" ref="H191:J191" si="84">G193</f>
        <v>0</v>
      </c>
      <c r="I191" s="12">
        <f t="shared" si="84"/>
        <v>0</v>
      </c>
      <c r="J191" s="12">
        <f t="shared" si="84"/>
        <v>0</v>
      </c>
    </row>
    <row r="192" spans="2:10" x14ac:dyDescent="0.25">
      <c r="B192" s="33" t="s">
        <v>163</v>
      </c>
      <c r="C192" s="33"/>
      <c r="D192" s="33"/>
      <c r="E192" s="33"/>
      <c r="F192" s="88">
        <f>F191*$C$194</f>
        <v>0</v>
      </c>
      <c r="G192" s="88">
        <f t="shared" ref="G192:J192" si="85">G191*$C$194</f>
        <v>0</v>
      </c>
      <c r="H192" s="88">
        <f t="shared" si="85"/>
        <v>0</v>
      </c>
      <c r="I192" s="88">
        <f t="shared" si="85"/>
        <v>0</v>
      </c>
      <c r="J192" s="88">
        <f t="shared" si="85"/>
        <v>0</v>
      </c>
    </row>
    <row r="193" spans="1:10" x14ac:dyDescent="0.25">
      <c r="B193" s="13" t="s">
        <v>164</v>
      </c>
      <c r="C193" s="85" t="s">
        <v>159</v>
      </c>
      <c r="D193" s="85" t="s">
        <v>160</v>
      </c>
      <c r="E193" s="13"/>
      <c r="F193" s="15">
        <f>SUM(F191:F192)</f>
        <v>0</v>
      </c>
      <c r="G193" s="15">
        <f t="shared" ref="G193:J193" si="86">SUM(G191:G192)</f>
        <v>0</v>
      </c>
      <c r="H193" s="15">
        <f t="shared" si="86"/>
        <v>0</v>
      </c>
      <c r="I193" s="15">
        <f t="shared" si="86"/>
        <v>0</v>
      </c>
      <c r="J193" s="15">
        <f t="shared" si="86"/>
        <v>0</v>
      </c>
    </row>
    <row r="194" spans="1:10" x14ac:dyDescent="0.25">
      <c r="C194" s="68">
        <v>0.04</v>
      </c>
      <c r="D194" s="68">
        <v>0.08</v>
      </c>
    </row>
    <row r="195" spans="1:10" x14ac:dyDescent="0.25">
      <c r="B195" s="33" t="s">
        <v>165</v>
      </c>
      <c r="C195" s="33"/>
      <c r="D195" s="33"/>
      <c r="E195" s="33"/>
      <c r="F195" s="88">
        <f>$D$194*F193</f>
        <v>0</v>
      </c>
      <c r="G195" s="88">
        <f t="shared" ref="G195:J195" si="87">$D$194*G193</f>
        <v>0</v>
      </c>
      <c r="H195" s="88">
        <f t="shared" si="87"/>
        <v>0</v>
      </c>
      <c r="I195" s="88">
        <f t="shared" si="87"/>
        <v>0</v>
      </c>
      <c r="J195" s="88">
        <f t="shared" si="87"/>
        <v>0</v>
      </c>
    </row>
    <row r="196" spans="1:10" ht="5.25" customHeight="1" x14ac:dyDescent="0.25"/>
    <row r="197" spans="1:10" x14ac:dyDescent="0.25">
      <c r="B197" s="56" t="s">
        <v>166</v>
      </c>
    </row>
    <row r="198" spans="1:10" x14ac:dyDescent="0.25">
      <c r="B198" s="1" t="s">
        <v>167</v>
      </c>
      <c r="F198" s="87">
        <f>H32</f>
        <v>533.36472499999991</v>
      </c>
      <c r="G198" s="27">
        <f>F200</f>
        <v>457.71176607142849</v>
      </c>
      <c r="H198" s="27">
        <f t="shared" ref="H198:J198" si="88">G200</f>
        <v>382.05880714285706</v>
      </c>
      <c r="I198" s="27">
        <f t="shared" si="88"/>
        <v>306.40584821428564</v>
      </c>
      <c r="J198" s="27">
        <f t="shared" si="88"/>
        <v>230.75288928571422</v>
      </c>
    </row>
    <row r="199" spans="1:10" x14ac:dyDescent="0.25">
      <c r="B199" s="1" t="s">
        <v>107</v>
      </c>
      <c r="F199" s="27">
        <f>-$J$32</f>
        <v>-75.652958928571422</v>
      </c>
      <c r="G199" s="27">
        <f t="shared" ref="G199:J199" si="89">-$J$32</f>
        <v>-75.652958928571422</v>
      </c>
      <c r="H199" s="27">
        <f t="shared" si="89"/>
        <v>-75.652958928571422</v>
      </c>
      <c r="I199" s="27">
        <f t="shared" si="89"/>
        <v>-75.652958928571422</v>
      </c>
      <c r="J199" s="27">
        <f t="shared" si="89"/>
        <v>-75.652958928571422</v>
      </c>
    </row>
    <row r="200" spans="1:10" x14ac:dyDescent="0.25">
      <c r="B200" s="13" t="s">
        <v>168</v>
      </c>
      <c r="C200" s="13"/>
      <c r="D200" s="13"/>
      <c r="E200" s="13"/>
      <c r="F200" s="52">
        <f>SUM(F198:F199)</f>
        <v>457.71176607142849</v>
      </c>
      <c r="G200" s="52">
        <f t="shared" ref="G200:J200" si="90">SUM(G198:G199)</f>
        <v>382.05880714285706</v>
      </c>
      <c r="H200" s="52">
        <f t="shared" si="90"/>
        <v>306.40584821428564</v>
      </c>
      <c r="I200" s="52">
        <f t="shared" si="90"/>
        <v>230.75288928571422</v>
      </c>
      <c r="J200" s="52">
        <f t="shared" si="90"/>
        <v>155.0999303571428</v>
      </c>
    </row>
    <row r="201" spans="1:10" ht="5.25" customHeight="1" x14ac:dyDescent="0.25"/>
    <row r="202" spans="1:10" x14ac:dyDescent="0.25">
      <c r="A202" s="63"/>
      <c r="B202" s="64" t="s">
        <v>84</v>
      </c>
      <c r="C202" s="155" t="s">
        <v>86</v>
      </c>
      <c r="D202" s="155"/>
      <c r="E202" s="155"/>
      <c r="F202" s="156" t="s">
        <v>85</v>
      </c>
      <c r="G202" s="156"/>
      <c r="H202" s="156"/>
      <c r="I202" s="156"/>
      <c r="J202" s="156"/>
    </row>
    <row r="203" spans="1:10" ht="21" x14ac:dyDescent="0.35">
      <c r="A203" s="63"/>
      <c r="B203" s="82" t="s">
        <v>170</v>
      </c>
      <c r="C203" s="71">
        <v>2010</v>
      </c>
      <c r="D203" s="71">
        <v>2011</v>
      </c>
      <c r="E203" s="71">
        <v>2012</v>
      </c>
      <c r="F203" s="72">
        <v>2013</v>
      </c>
      <c r="G203" s="72">
        <v>2014</v>
      </c>
      <c r="H203" s="72">
        <v>2015</v>
      </c>
      <c r="I203" s="72">
        <v>2016</v>
      </c>
      <c r="J203" s="72">
        <v>2017</v>
      </c>
    </row>
    <row r="204" spans="1:10" ht="5.25" customHeight="1" x14ac:dyDescent="0.25"/>
    <row r="205" spans="1:10" x14ac:dyDescent="0.25">
      <c r="B205" s="33" t="s">
        <v>171</v>
      </c>
      <c r="C205" s="33"/>
      <c r="D205" s="33"/>
      <c r="E205" s="33"/>
      <c r="F205" s="89">
        <v>27</v>
      </c>
      <c r="G205" s="89">
        <v>49</v>
      </c>
      <c r="H205" s="89">
        <v>83</v>
      </c>
      <c r="I205" s="89">
        <v>135</v>
      </c>
      <c r="J205" s="89">
        <v>184</v>
      </c>
    </row>
    <row r="206" spans="1:10" x14ac:dyDescent="0.25">
      <c r="C206" s="80" t="s">
        <v>172</v>
      </c>
      <c r="D206" s="80" t="s">
        <v>173</v>
      </c>
      <c r="E206" s="80" t="s">
        <v>174</v>
      </c>
    </row>
    <row r="207" spans="1:10" x14ac:dyDescent="0.25">
      <c r="B207" s="1" t="s">
        <v>38</v>
      </c>
      <c r="C207" s="90">
        <v>0.04</v>
      </c>
      <c r="D207" s="35">
        <v>0</v>
      </c>
      <c r="F207" s="27">
        <f ca="1">($C$207+MAX(F205/10000,$D$207))*AVERAGE(F150,F152)</f>
        <v>0</v>
      </c>
      <c r="G207" s="27">
        <f t="shared" ref="G207:J207" ca="1" si="91">($C$207+MAX(G205/10000,$D$207))*AVERAGE(G150,G152)</f>
        <v>0</v>
      </c>
      <c r="H207" s="27">
        <f t="shared" ca="1" si="91"/>
        <v>0</v>
      </c>
      <c r="I207" s="27">
        <f t="shared" ca="1" si="91"/>
        <v>0</v>
      </c>
      <c r="J207" s="27">
        <f t="shared" ca="1" si="91"/>
        <v>0</v>
      </c>
    </row>
    <row r="208" spans="1:10" x14ac:dyDescent="0.25">
      <c r="B208" s="1" t="s">
        <v>140</v>
      </c>
      <c r="C208" s="90">
        <v>0.04</v>
      </c>
      <c r="D208" s="35">
        <v>0.01</v>
      </c>
      <c r="F208" s="27">
        <f ca="1">($C$208+MAX(F205/10000,$D$208))*AVERAGE(F158,F161)</f>
        <v>1392.9233152407146</v>
      </c>
      <c r="G208" s="27">
        <f t="shared" ref="G208:J208" ca="1" si="92">($C$208+MAX(G205/10000,$D$208))*AVERAGE(G158,G161)</f>
        <v>1153.3331495926429</v>
      </c>
      <c r="H208" s="27">
        <f t="shared" ca="1" si="92"/>
        <v>889.11944840298736</v>
      </c>
      <c r="I208" s="27">
        <f t="shared" ca="1" si="92"/>
        <v>626.43813030573165</v>
      </c>
      <c r="J208" s="27">
        <f t="shared" ca="1" si="92"/>
        <v>223.17160835574137</v>
      </c>
    </row>
    <row r="209" spans="1:10" x14ac:dyDescent="0.25">
      <c r="B209" s="1" t="s">
        <v>148</v>
      </c>
      <c r="C209" s="90">
        <v>0.04</v>
      </c>
      <c r="D209" s="35">
        <v>0</v>
      </c>
      <c r="F209" s="27">
        <f ca="1">($C$209+MAX(F205/10000,$D$209))*AVERAGE(F167,F170)</f>
        <v>169.32165061864043</v>
      </c>
      <c r="G209" s="27">
        <f t="shared" ref="G209:J209" ca="1" si="93">($C$209+MAX(G205/10000,$D$209))*AVERAGE(G167,G170)</f>
        <v>84.627103984823307</v>
      </c>
      <c r="H209" s="27">
        <f t="shared" ca="1" si="93"/>
        <v>0</v>
      </c>
      <c r="I209" s="27">
        <f t="shared" ca="1" si="93"/>
        <v>0</v>
      </c>
      <c r="J209" s="27">
        <f t="shared" ca="1" si="93"/>
        <v>0</v>
      </c>
    </row>
    <row r="210" spans="1:10" x14ac:dyDescent="0.25">
      <c r="B210" s="1" t="s">
        <v>152</v>
      </c>
      <c r="E210" s="35">
        <v>8.1250000000000003E-2</v>
      </c>
      <c r="F210" s="27">
        <f>$E$210*AVERAGE(F176,F178)</f>
        <v>246.61081250000001</v>
      </c>
      <c r="G210" s="27">
        <f t="shared" ref="G210:J210" si="94">$E$210*AVERAGE(G176,G178)</f>
        <v>246.61081250000001</v>
      </c>
      <c r="H210" s="27">
        <f t="shared" si="94"/>
        <v>246.61081250000001</v>
      </c>
      <c r="I210" s="27">
        <f t="shared" si="94"/>
        <v>246.61081250000001</v>
      </c>
      <c r="J210" s="27">
        <f t="shared" si="94"/>
        <v>246.61081250000001</v>
      </c>
    </row>
    <row r="211" spans="1:10" x14ac:dyDescent="0.25">
      <c r="B211" s="1" t="s">
        <v>175</v>
      </c>
      <c r="E211" s="35">
        <f>D185</f>
        <v>0.08</v>
      </c>
      <c r="F211" s="27">
        <f>$E$211*(F183-F184)</f>
        <v>0</v>
      </c>
      <c r="G211" s="27">
        <f t="shared" ref="G211:J211" si="95">$E$211*(G183-G184)</f>
        <v>0</v>
      </c>
      <c r="H211" s="27">
        <f t="shared" si="95"/>
        <v>0</v>
      </c>
      <c r="I211" s="27">
        <f t="shared" si="95"/>
        <v>0</v>
      </c>
      <c r="J211" s="27">
        <f t="shared" si="95"/>
        <v>0</v>
      </c>
    </row>
    <row r="212" spans="1:10" x14ac:dyDescent="0.25">
      <c r="B212" s="1" t="s">
        <v>176</v>
      </c>
      <c r="E212" s="35">
        <f>C185</f>
        <v>0.04</v>
      </c>
      <c r="F212" s="27">
        <f>F185</f>
        <v>0</v>
      </c>
      <c r="G212" s="27">
        <f t="shared" ref="G212:J212" si="96">G185</f>
        <v>0</v>
      </c>
      <c r="H212" s="27">
        <f t="shared" si="96"/>
        <v>0</v>
      </c>
      <c r="I212" s="27">
        <f t="shared" si="96"/>
        <v>0</v>
      </c>
      <c r="J212" s="27">
        <f t="shared" si="96"/>
        <v>0</v>
      </c>
    </row>
    <row r="213" spans="1:10" ht="5.25" customHeight="1" x14ac:dyDescent="0.25"/>
    <row r="214" spans="1:10" ht="21" x14ac:dyDescent="0.35">
      <c r="A214" s="91"/>
      <c r="B214" s="92" t="s">
        <v>177</v>
      </c>
      <c r="C214" s="91"/>
      <c r="D214" s="91"/>
      <c r="E214" s="91"/>
      <c r="F214" s="91"/>
      <c r="G214" s="91"/>
      <c r="H214" s="91"/>
      <c r="I214" s="91"/>
      <c r="J214" s="91"/>
    </row>
    <row r="215" spans="1:10" ht="5.25" customHeight="1" x14ac:dyDescent="0.25"/>
    <row r="216" spans="1:10" x14ac:dyDescent="0.25">
      <c r="F216" s="157" t="s">
        <v>212</v>
      </c>
      <c r="G216" s="157"/>
      <c r="H216" s="157"/>
      <c r="I216" s="157"/>
      <c r="J216" s="157"/>
    </row>
    <row r="217" spans="1:10" ht="5.25" customHeight="1" x14ac:dyDescent="0.25"/>
    <row r="218" spans="1:10" x14ac:dyDescent="0.25">
      <c r="B218" s="56" t="s">
        <v>178</v>
      </c>
      <c r="C218" s="56"/>
      <c r="D218" s="56"/>
      <c r="E218" s="80" t="s">
        <v>186</v>
      </c>
      <c r="F218" s="131">
        <f>D16-1</f>
        <v>6</v>
      </c>
      <c r="G218" s="131">
        <f>F218+$E$219</f>
        <v>6.5</v>
      </c>
      <c r="H218" s="131">
        <f t="shared" ref="H218:J218" si="97">G218+$E$219</f>
        <v>7</v>
      </c>
      <c r="I218" s="131">
        <f t="shared" si="97"/>
        <v>7.5</v>
      </c>
      <c r="J218" s="131">
        <f t="shared" si="97"/>
        <v>8</v>
      </c>
    </row>
    <row r="219" spans="1:10" x14ac:dyDescent="0.25">
      <c r="B219" s="1" t="s">
        <v>179</v>
      </c>
      <c r="E219" s="22">
        <v>0.5</v>
      </c>
      <c r="F219" s="27">
        <f>$J$72</f>
        <v>6803.1542911106881</v>
      </c>
      <c r="G219" s="27">
        <f t="shared" ref="G219:J219" si="98">$J$72</f>
        <v>6803.1542911106881</v>
      </c>
      <c r="H219" s="27">
        <f t="shared" si="98"/>
        <v>6803.1542911106881</v>
      </c>
      <c r="I219" s="27">
        <f t="shared" si="98"/>
        <v>6803.1542911106881</v>
      </c>
      <c r="J219" s="27">
        <f t="shared" si="98"/>
        <v>6803.1542911106881</v>
      </c>
    </row>
    <row r="220" spans="1:10" x14ac:dyDescent="0.25">
      <c r="B220" s="56" t="s">
        <v>24</v>
      </c>
      <c r="C220" s="56"/>
      <c r="D220" s="56"/>
      <c r="E220" s="56"/>
      <c r="F220" s="69">
        <f>F219*F218</f>
        <v>40818.925746664128</v>
      </c>
      <c r="G220" s="69">
        <f t="shared" ref="G220:J220" si="99">G219*G218</f>
        <v>44220.502892219476</v>
      </c>
      <c r="H220" s="69">
        <f t="shared" si="99"/>
        <v>47622.080037774816</v>
      </c>
      <c r="I220" s="69">
        <f t="shared" si="99"/>
        <v>51023.657183330157</v>
      </c>
      <c r="J220" s="69">
        <f t="shared" si="99"/>
        <v>54425.234328885505</v>
      </c>
    </row>
    <row r="221" spans="1:10" x14ac:dyDescent="0.25">
      <c r="B221" s="79" t="s">
        <v>180</v>
      </c>
    </row>
    <row r="222" spans="1:10" x14ac:dyDescent="0.25">
      <c r="B222" s="74" t="s">
        <v>38</v>
      </c>
      <c r="F222" s="12">
        <f ca="1">$J$152</f>
        <v>0</v>
      </c>
      <c r="G222" s="12">
        <f t="shared" ref="G222:J222" ca="1" si="100">$J$152</f>
        <v>0</v>
      </c>
      <c r="H222" s="12">
        <f t="shared" ca="1" si="100"/>
        <v>0</v>
      </c>
      <c r="I222" s="12">
        <f t="shared" ca="1" si="100"/>
        <v>0</v>
      </c>
      <c r="J222" s="12">
        <f t="shared" ca="1" si="100"/>
        <v>0</v>
      </c>
    </row>
    <row r="223" spans="1:10" x14ac:dyDescent="0.25">
      <c r="B223" s="74" t="s">
        <v>140</v>
      </c>
      <c r="F223" s="27">
        <f ca="1">$J$161</f>
        <v>0</v>
      </c>
      <c r="G223" s="27">
        <f t="shared" ref="G223:J223" ca="1" si="101">$J$161</f>
        <v>0</v>
      </c>
      <c r="H223" s="27">
        <f t="shared" ca="1" si="101"/>
        <v>0</v>
      </c>
      <c r="I223" s="27">
        <f t="shared" ca="1" si="101"/>
        <v>0</v>
      </c>
      <c r="J223" s="27">
        <f t="shared" ca="1" si="101"/>
        <v>0</v>
      </c>
    </row>
    <row r="224" spans="1:10" x14ac:dyDescent="0.25">
      <c r="B224" s="74" t="s">
        <v>148</v>
      </c>
      <c r="F224" s="27">
        <f ca="1">$J$170</f>
        <v>0</v>
      </c>
      <c r="G224" s="27">
        <f t="shared" ref="G224:J224" ca="1" si="102">$J$170</f>
        <v>0</v>
      </c>
      <c r="H224" s="27">
        <f t="shared" ca="1" si="102"/>
        <v>0</v>
      </c>
      <c r="I224" s="27">
        <f t="shared" ca="1" si="102"/>
        <v>0</v>
      </c>
      <c r="J224" s="27">
        <f t="shared" ca="1" si="102"/>
        <v>0</v>
      </c>
    </row>
    <row r="225" spans="1:10" x14ac:dyDescent="0.25">
      <c r="B225" s="74" t="s">
        <v>152</v>
      </c>
      <c r="F225" s="27">
        <f>$J$178</f>
        <v>3035.21</v>
      </c>
      <c r="G225" s="27">
        <f t="shared" ref="G225:J225" si="103">$J$178</f>
        <v>3035.21</v>
      </c>
      <c r="H225" s="27">
        <f t="shared" si="103"/>
        <v>3035.21</v>
      </c>
      <c r="I225" s="27">
        <f t="shared" si="103"/>
        <v>3035.21</v>
      </c>
      <c r="J225" s="27">
        <f t="shared" si="103"/>
        <v>3035.21</v>
      </c>
    </row>
    <row r="226" spans="1:10" x14ac:dyDescent="0.25">
      <c r="B226" s="74" t="s">
        <v>155</v>
      </c>
      <c r="F226" s="27">
        <f>$J$186</f>
        <v>0</v>
      </c>
      <c r="G226" s="27">
        <f t="shared" ref="G226:J226" si="104">$J$186</f>
        <v>0</v>
      </c>
      <c r="H226" s="27">
        <f t="shared" si="104"/>
        <v>0</v>
      </c>
      <c r="I226" s="27">
        <f t="shared" si="104"/>
        <v>0</v>
      </c>
      <c r="J226" s="27">
        <f t="shared" si="104"/>
        <v>0</v>
      </c>
    </row>
    <row r="227" spans="1:10" x14ac:dyDescent="0.25">
      <c r="B227" s="74" t="s">
        <v>161</v>
      </c>
      <c r="F227" s="12">
        <f>$J$193</f>
        <v>0</v>
      </c>
      <c r="G227" s="12">
        <f t="shared" ref="G227:J227" si="105">$J$193</f>
        <v>0</v>
      </c>
      <c r="H227" s="12">
        <f t="shared" si="105"/>
        <v>0</v>
      </c>
      <c r="I227" s="12">
        <f t="shared" si="105"/>
        <v>0</v>
      </c>
      <c r="J227" s="12">
        <f t="shared" si="105"/>
        <v>0</v>
      </c>
    </row>
    <row r="228" spans="1:10" x14ac:dyDescent="0.25">
      <c r="B228" s="74" t="s">
        <v>11</v>
      </c>
      <c r="F228" s="27">
        <f ca="1">-$J$138</f>
        <v>-6260.5221962522974</v>
      </c>
      <c r="G228" s="27">
        <f t="shared" ref="G228:J228" ca="1" si="106">-$J$138</f>
        <v>-6260.5221962522974</v>
      </c>
      <c r="H228" s="27">
        <f t="shared" ca="1" si="106"/>
        <v>-6260.5221962522974</v>
      </c>
      <c r="I228" s="27">
        <f t="shared" ca="1" si="106"/>
        <v>-6260.5221962522974</v>
      </c>
      <c r="J228" s="27">
        <f t="shared" ca="1" si="106"/>
        <v>-6260.5221962522974</v>
      </c>
    </row>
    <row r="229" spans="1:10" x14ac:dyDescent="0.25">
      <c r="B229" s="56" t="s">
        <v>181</v>
      </c>
      <c r="C229" s="108" t="s">
        <v>182</v>
      </c>
      <c r="D229" s="109" t="s">
        <v>183</v>
      </c>
      <c r="E229" s="110" t="s">
        <v>184</v>
      </c>
      <c r="F229" s="69">
        <f ca="1">F220-SUM(F222:F228)</f>
        <v>44044.237942916428</v>
      </c>
      <c r="G229" s="69">
        <f t="shared" ref="G229:J229" ca="1" si="107">G220-SUM(G222:G228)</f>
        <v>47445.815088471776</v>
      </c>
      <c r="H229" s="69">
        <f t="shared" ca="1" si="107"/>
        <v>50847.392234027117</v>
      </c>
      <c r="I229" s="69">
        <f t="shared" ca="1" si="107"/>
        <v>54248.969379582457</v>
      </c>
      <c r="J229" s="69">
        <f t="shared" ca="1" si="107"/>
        <v>57650.546525137805</v>
      </c>
    </row>
    <row r="230" spans="1:10" x14ac:dyDescent="0.25">
      <c r="B230" s="1" t="s">
        <v>45</v>
      </c>
      <c r="C230" s="102">
        <f>D34</f>
        <v>19603.595677837999</v>
      </c>
      <c r="D230" s="104">
        <f>C230/SUM(C230:C231)</f>
        <v>0.62525829847113046</v>
      </c>
      <c r="E230" s="111">
        <f>(1-$E$233-$E$232)*(D230/SUM($D$230:$D$231))</f>
        <v>0.62525829847113046</v>
      </c>
      <c r="F230" s="27">
        <f ca="1">F229*$E$230</f>
        <v>27539.02527364553</v>
      </c>
      <c r="G230" s="27">
        <f t="shared" ref="G230:J230" ca="1" si="108">G229*$E$230</f>
        <v>29665.889611793751</v>
      </c>
      <c r="H230" s="27">
        <f t="shared" ca="1" si="108"/>
        <v>31792.753949941969</v>
      </c>
      <c r="I230" s="27">
        <f t="shared" ca="1" si="108"/>
        <v>33919.618288090183</v>
      </c>
      <c r="J230" s="27">
        <f t="shared" ca="1" si="108"/>
        <v>36046.482626238409</v>
      </c>
    </row>
    <row r="231" spans="1:10" x14ac:dyDescent="0.25">
      <c r="B231" s="1" t="s">
        <v>185</v>
      </c>
      <c r="C231" s="102">
        <f>D33</f>
        <v>11749.199999999999</v>
      </c>
      <c r="D231" s="104">
        <f>1-D230</f>
        <v>0.37474170152886954</v>
      </c>
      <c r="E231" s="111">
        <f>(1-$E$233-$E$232)*(D231/SUM($D$230:$D$231))</f>
        <v>0.37474170152886954</v>
      </c>
      <c r="F231" s="27">
        <f ca="1">F229*$E$231</f>
        <v>16505.212669270899</v>
      </c>
      <c r="G231" s="27">
        <f t="shared" ref="G231:J231" ca="1" si="109">G229*$E$231</f>
        <v>17779.925476678025</v>
      </c>
      <c r="H231" s="27">
        <f t="shared" ca="1" si="109"/>
        <v>19054.638284085147</v>
      </c>
      <c r="I231" s="27">
        <f t="shared" ca="1" si="109"/>
        <v>20329.351091492274</v>
      </c>
      <c r="J231" s="27">
        <f t="shared" ca="1" si="109"/>
        <v>21604.0638988994</v>
      </c>
    </row>
    <row r="232" spans="1:10" x14ac:dyDescent="0.25">
      <c r="B232" s="1" t="s">
        <v>43</v>
      </c>
      <c r="C232" s="102"/>
      <c r="D232" s="104"/>
      <c r="E232" s="105">
        <v>0</v>
      </c>
      <c r="F232" s="27">
        <f ca="1">F229*$E$232</f>
        <v>0</v>
      </c>
      <c r="G232" s="27">
        <f t="shared" ref="G232:J232" ca="1" si="110">G229*$E$232</f>
        <v>0</v>
      </c>
      <c r="H232" s="27">
        <f t="shared" ca="1" si="110"/>
        <v>0</v>
      </c>
      <c r="I232" s="27">
        <f t="shared" ca="1" si="110"/>
        <v>0</v>
      </c>
      <c r="J232" s="27">
        <f t="shared" ca="1" si="110"/>
        <v>0</v>
      </c>
    </row>
    <row r="233" spans="1:10" x14ac:dyDescent="0.25">
      <c r="B233" s="1" t="s">
        <v>42</v>
      </c>
      <c r="C233" s="103"/>
      <c r="D233" s="106"/>
      <c r="E233" s="107">
        <v>0</v>
      </c>
      <c r="F233" s="27">
        <f ca="1">F229*$E$233</f>
        <v>0</v>
      </c>
      <c r="G233" s="27">
        <f t="shared" ref="G233:J233" ca="1" si="111">G229*$E$233</f>
        <v>0</v>
      </c>
      <c r="H233" s="27">
        <f t="shared" ca="1" si="111"/>
        <v>0</v>
      </c>
      <c r="I233" s="27">
        <f t="shared" ca="1" si="111"/>
        <v>0</v>
      </c>
      <c r="J233" s="27">
        <f t="shared" ca="1" si="111"/>
        <v>0</v>
      </c>
    </row>
    <row r="234" spans="1:10" ht="5.25" customHeight="1" x14ac:dyDescent="0.25"/>
    <row r="235" spans="1:10" ht="21" x14ac:dyDescent="0.35">
      <c r="A235" s="91"/>
      <c r="B235" s="92" t="s">
        <v>187</v>
      </c>
      <c r="C235" s="91"/>
      <c r="D235" s="91"/>
      <c r="E235" s="91"/>
      <c r="F235" s="91"/>
      <c r="G235" s="91"/>
      <c r="H235" s="91"/>
      <c r="I235" s="91"/>
      <c r="J235" s="91"/>
    </row>
    <row r="236" spans="1:10" ht="5.25" customHeight="1" x14ac:dyDescent="0.25"/>
    <row r="237" spans="1:10" x14ac:dyDescent="0.25">
      <c r="C237" s="98" t="s">
        <v>188</v>
      </c>
      <c r="D237" s="98" t="s">
        <v>189</v>
      </c>
      <c r="E237" s="98" t="s">
        <v>190</v>
      </c>
      <c r="F237" s="98">
        <v>2013</v>
      </c>
      <c r="G237" s="98">
        <v>2014</v>
      </c>
      <c r="H237" s="98">
        <v>2015</v>
      </c>
      <c r="I237" s="98">
        <v>2016</v>
      </c>
      <c r="J237" s="98">
        <v>2017</v>
      </c>
    </row>
    <row r="238" spans="1:10" x14ac:dyDescent="0.25">
      <c r="B238" s="1" t="s">
        <v>38</v>
      </c>
      <c r="C238" s="112" t="str">
        <f ca="1">IFERROR(SUM(F238:J238)/-E238,"NM")</f>
        <v>NM</v>
      </c>
      <c r="D238" s="128">
        <f ca="1">IFERROR(IRR(E238:J238),0)</f>
        <v>0</v>
      </c>
      <c r="E238" s="114">
        <f>-D27</f>
        <v>0</v>
      </c>
      <c r="F238" s="114">
        <f ca="1">-(F207+F151)</f>
        <v>0</v>
      </c>
      <c r="G238" s="114">
        <f t="shared" ref="G238:I238" ca="1" si="112">-(G207+G151)</f>
        <v>0</v>
      </c>
      <c r="H238" s="114">
        <f t="shared" ca="1" si="112"/>
        <v>0</v>
      </c>
      <c r="I238" s="114">
        <f t="shared" ca="1" si="112"/>
        <v>0</v>
      </c>
      <c r="J238" s="121">
        <f ca="1">-(J207+J151+J152)</f>
        <v>0</v>
      </c>
    </row>
    <row r="239" spans="1:10" x14ac:dyDescent="0.25">
      <c r="B239" s="1" t="s">
        <v>140</v>
      </c>
      <c r="C239" s="112">
        <f t="shared" ref="C239:C241" ca="1" si="113">IFERROR(SUM(F239:J239)/-E239,"NM")</f>
        <v>1.1458817843563074</v>
      </c>
      <c r="D239" s="128">
        <f t="shared" ref="D239:D241" ca="1" si="114">IFERROR(IRR(E239:J239),0)</f>
        <v>4.3537085974261203E-2</v>
      </c>
      <c r="E239" s="114">
        <f>-D28</f>
        <v>-29373</v>
      </c>
      <c r="F239" s="114">
        <f ca="1">F208+F160+F159</f>
        <v>4421.9907056121338</v>
      </c>
      <c r="G239" s="114">
        <f t="shared" ref="G239:I239" ca="1" si="115">G208+G160+G159</f>
        <v>7707.8723851440864</v>
      </c>
      <c r="H239" s="114">
        <f t="shared" ca="1" si="115"/>
        <v>4903.1282604377648</v>
      </c>
      <c r="I239" s="114">
        <f t="shared" ca="1" si="115"/>
        <v>8758.9593924939327</v>
      </c>
      <c r="J239" s="121">
        <f ca="1">J208+J160+J159+J161</f>
        <v>7866.0349082098983</v>
      </c>
    </row>
    <row r="240" spans="1:10" x14ac:dyDescent="0.25">
      <c r="B240" s="1" t="s">
        <v>148</v>
      </c>
      <c r="C240" s="112">
        <f t="shared" ca="1" si="113"/>
        <v>1.0610281361883274</v>
      </c>
      <c r="D240" s="128">
        <f t="shared" ca="1" si="114"/>
        <v>3.2164639456798039E-2</v>
      </c>
      <c r="E240" s="114">
        <f>-D29</f>
        <v>-4161.1750000000002</v>
      </c>
      <c r="F240" s="114">
        <f ca="1">F209+F168+F169</f>
        <v>560.91518136147749</v>
      </c>
      <c r="G240" s="114">
        <f t="shared" ref="G240:I240" ca="1" si="116">G209+G168+G169</f>
        <v>3854.2085732419864</v>
      </c>
      <c r="H240" s="114">
        <f t="shared" ca="1" si="116"/>
        <v>0</v>
      </c>
      <c r="I240" s="114">
        <f t="shared" ca="1" si="116"/>
        <v>0</v>
      </c>
      <c r="J240" s="121">
        <f ca="1">J209+J168+J169+J170</f>
        <v>0</v>
      </c>
    </row>
    <row r="241" spans="2:10" x14ac:dyDescent="0.25">
      <c r="B241" s="1" t="s">
        <v>152</v>
      </c>
      <c r="C241" s="112">
        <f t="shared" si="113"/>
        <v>1.40625</v>
      </c>
      <c r="D241" s="128">
        <f t="shared" si="114"/>
        <v>8.1249999999138733E-2</v>
      </c>
      <c r="E241" s="114">
        <f>-D30</f>
        <v>-3035.21</v>
      </c>
      <c r="F241" s="114">
        <f>F210+F177</f>
        <v>246.61081250000001</v>
      </c>
      <c r="G241" s="114">
        <f t="shared" ref="G241:I241" si="117">G210+G177</f>
        <v>246.61081250000001</v>
      </c>
      <c r="H241" s="114">
        <f t="shared" si="117"/>
        <v>246.61081250000001</v>
      </c>
      <c r="I241" s="114">
        <f t="shared" si="117"/>
        <v>246.61081250000001</v>
      </c>
      <c r="J241" s="121">
        <f>J210+J177+J178</f>
        <v>3281.8208125000001</v>
      </c>
    </row>
    <row r="242" spans="2:10" x14ac:dyDescent="0.25">
      <c r="B242" s="73" t="s">
        <v>191</v>
      </c>
      <c r="C242" s="93"/>
      <c r="D242" s="128"/>
      <c r="E242" s="115"/>
      <c r="F242" s="114"/>
      <c r="G242" s="114"/>
      <c r="H242" s="114"/>
      <c r="I242" s="114"/>
      <c r="J242" s="116"/>
    </row>
    <row r="243" spans="2:10" x14ac:dyDescent="0.25">
      <c r="B243" s="97">
        <f>$F$218</f>
        <v>6</v>
      </c>
      <c r="C243" s="112" t="str">
        <f ca="1">IFERROR(SUM(F243:J243)/-E243,"NM")</f>
        <v>NM</v>
      </c>
      <c r="D243" s="128">
        <f ca="1">IFERROR(IRR(E243:J243),0)</f>
        <v>0</v>
      </c>
      <c r="E243" s="114">
        <f>-($D$31)</f>
        <v>0</v>
      </c>
      <c r="F243" s="122">
        <f>F$211+F$184</f>
        <v>0</v>
      </c>
      <c r="G243" s="122">
        <f t="shared" ref="G243:I247" si="118">G$211+G$184</f>
        <v>0</v>
      </c>
      <c r="H243" s="122">
        <f t="shared" si="118"/>
        <v>0</v>
      </c>
      <c r="I243" s="122">
        <f t="shared" si="118"/>
        <v>0</v>
      </c>
      <c r="J243" s="121">
        <f ca="1">$J$211+$J$184+F233+$J$186</f>
        <v>0</v>
      </c>
    </row>
    <row r="244" spans="2:10" x14ac:dyDescent="0.25">
      <c r="B244" s="97">
        <f>$G$218</f>
        <v>6.5</v>
      </c>
      <c r="C244" s="112" t="str">
        <f t="shared" ref="C244:C247" ca="1" si="119">IFERROR(SUM(F244:J244)/-E244,"NM")</f>
        <v>NM</v>
      </c>
      <c r="D244" s="128">
        <f t="shared" ref="D244:D247" ca="1" si="120">IFERROR(IRR(E244:J244),0)</f>
        <v>0</v>
      </c>
      <c r="E244" s="114">
        <f t="shared" ref="E244:E247" si="121">-($D$31)</f>
        <v>0</v>
      </c>
      <c r="F244" s="122">
        <f t="shared" ref="F244:F247" si="122">F$211+F$184</f>
        <v>0</v>
      </c>
      <c r="G244" s="122">
        <f t="shared" si="118"/>
        <v>0</v>
      </c>
      <c r="H244" s="122">
        <f t="shared" si="118"/>
        <v>0</v>
      </c>
      <c r="I244" s="122">
        <f t="shared" si="118"/>
        <v>0</v>
      </c>
      <c r="J244" s="121">
        <f ca="1">J211+J184+G233+J186</f>
        <v>0</v>
      </c>
    </row>
    <row r="245" spans="2:10" x14ac:dyDescent="0.25">
      <c r="B245" s="97">
        <f>$H$218</f>
        <v>7</v>
      </c>
      <c r="C245" s="112" t="str">
        <f t="shared" ca="1" si="119"/>
        <v>NM</v>
      </c>
      <c r="D245" s="128">
        <f t="shared" ca="1" si="120"/>
        <v>0</v>
      </c>
      <c r="E245" s="114">
        <f t="shared" si="121"/>
        <v>0</v>
      </c>
      <c r="F245" s="122">
        <f t="shared" si="122"/>
        <v>0</v>
      </c>
      <c r="G245" s="122">
        <f t="shared" si="118"/>
        <v>0</v>
      </c>
      <c r="H245" s="122">
        <f t="shared" si="118"/>
        <v>0</v>
      </c>
      <c r="I245" s="122">
        <f t="shared" si="118"/>
        <v>0</v>
      </c>
      <c r="J245" s="121">
        <f ca="1">$J$211+$J$184+H233+$J$186</f>
        <v>0</v>
      </c>
    </row>
    <row r="246" spans="2:10" x14ac:dyDescent="0.25">
      <c r="B246" s="97">
        <f>$I$218</f>
        <v>7.5</v>
      </c>
      <c r="C246" s="112" t="str">
        <f t="shared" ca="1" si="119"/>
        <v>NM</v>
      </c>
      <c r="D246" s="128">
        <f t="shared" ca="1" si="120"/>
        <v>0</v>
      </c>
      <c r="E246" s="114">
        <f t="shared" si="121"/>
        <v>0</v>
      </c>
      <c r="F246" s="122">
        <f t="shared" si="122"/>
        <v>0</v>
      </c>
      <c r="G246" s="122">
        <f t="shared" si="118"/>
        <v>0</v>
      </c>
      <c r="H246" s="122">
        <f t="shared" si="118"/>
        <v>0</v>
      </c>
      <c r="I246" s="122">
        <f t="shared" si="118"/>
        <v>0</v>
      </c>
      <c r="J246" s="121">
        <f ca="1">$J$211+$J$184+I233+$J$186</f>
        <v>0</v>
      </c>
    </row>
    <row r="247" spans="2:10" x14ac:dyDescent="0.25">
      <c r="B247" s="97">
        <f>$J$218</f>
        <v>8</v>
      </c>
      <c r="C247" s="112" t="str">
        <f t="shared" ca="1" si="119"/>
        <v>NM</v>
      </c>
      <c r="D247" s="128">
        <f t="shared" ca="1" si="120"/>
        <v>0</v>
      </c>
      <c r="E247" s="114">
        <f t="shared" si="121"/>
        <v>0</v>
      </c>
      <c r="F247" s="122">
        <f t="shared" si="122"/>
        <v>0</v>
      </c>
      <c r="G247" s="122">
        <f t="shared" si="118"/>
        <v>0</v>
      </c>
      <c r="H247" s="122">
        <f t="shared" si="118"/>
        <v>0</v>
      </c>
      <c r="I247" s="122">
        <f t="shared" si="118"/>
        <v>0</v>
      </c>
      <c r="J247" s="121">
        <f ca="1">$J$211+$J$184+J233+$J$186</f>
        <v>0</v>
      </c>
    </row>
    <row r="248" spans="2:10" x14ac:dyDescent="0.25">
      <c r="B248" s="73" t="s">
        <v>192</v>
      </c>
      <c r="C248" s="93"/>
      <c r="D248" s="128"/>
      <c r="E248" s="114"/>
      <c r="F248" s="114"/>
      <c r="G248" s="114"/>
      <c r="H248" s="114"/>
      <c r="I248" s="114"/>
      <c r="J248" s="116"/>
    </row>
    <row r="249" spans="2:10" x14ac:dyDescent="0.25">
      <c r="B249" s="97">
        <f>$F$218</f>
        <v>6</v>
      </c>
      <c r="C249" s="112" t="str">
        <f ca="1">IFERROR(SUM(F249:J249)/-E249,"NM")</f>
        <v>NM</v>
      </c>
      <c r="D249" s="128">
        <f ca="1">IFERROR(IRR(E249:J249),0)</f>
        <v>0</v>
      </c>
      <c r="E249" s="114">
        <f>-($D$32)</f>
        <v>0</v>
      </c>
      <c r="F249" s="117">
        <f>F$195</f>
        <v>0</v>
      </c>
      <c r="G249" s="117">
        <f t="shared" ref="G249:I253" si="123">G$195</f>
        <v>0</v>
      </c>
      <c r="H249" s="117">
        <f t="shared" si="123"/>
        <v>0</v>
      </c>
      <c r="I249" s="117">
        <f t="shared" si="123"/>
        <v>0</v>
      </c>
      <c r="J249" s="123">
        <f ca="1">J$195+F232+J193</f>
        <v>0</v>
      </c>
    </row>
    <row r="250" spans="2:10" x14ac:dyDescent="0.25">
      <c r="B250" s="97">
        <f>$G$218</f>
        <v>6.5</v>
      </c>
      <c r="C250" s="112" t="str">
        <f t="shared" ref="C250:C253" ca="1" si="124">IFERROR(SUM(F250:J250)/-E250,"NM")</f>
        <v>NM</v>
      </c>
      <c r="D250" s="128">
        <f t="shared" ref="D250:D253" ca="1" si="125">IFERROR(IRR(E250:J250),0)</f>
        <v>0</v>
      </c>
      <c r="E250" s="114">
        <f t="shared" ref="E250:E253" si="126">-($D$32)</f>
        <v>0</v>
      </c>
      <c r="F250" s="117">
        <f>F$195</f>
        <v>0</v>
      </c>
      <c r="G250" s="117">
        <f t="shared" si="123"/>
        <v>0</v>
      </c>
      <c r="H250" s="117">
        <f t="shared" si="123"/>
        <v>0</v>
      </c>
      <c r="I250" s="117">
        <f t="shared" si="123"/>
        <v>0</v>
      </c>
      <c r="J250" s="123">
        <f ca="1">J$195+G232+J193</f>
        <v>0</v>
      </c>
    </row>
    <row r="251" spans="2:10" x14ac:dyDescent="0.25">
      <c r="B251" s="97">
        <f>$H$218</f>
        <v>7</v>
      </c>
      <c r="C251" s="112" t="str">
        <f t="shared" ca="1" si="124"/>
        <v>NM</v>
      </c>
      <c r="D251" s="128">
        <f t="shared" ca="1" si="125"/>
        <v>0</v>
      </c>
      <c r="E251" s="114">
        <f t="shared" si="126"/>
        <v>0</v>
      </c>
      <c r="F251" s="117">
        <f t="shared" ref="F251:F253" si="127">F$195</f>
        <v>0</v>
      </c>
      <c r="G251" s="117">
        <f t="shared" si="123"/>
        <v>0</v>
      </c>
      <c r="H251" s="117">
        <f t="shared" si="123"/>
        <v>0</v>
      </c>
      <c r="I251" s="117">
        <f t="shared" si="123"/>
        <v>0</v>
      </c>
      <c r="J251" s="123">
        <f ca="1">J$195+H233+J193</f>
        <v>0</v>
      </c>
    </row>
    <row r="252" spans="2:10" x14ac:dyDescent="0.25">
      <c r="B252" s="97">
        <f>$I$218</f>
        <v>7.5</v>
      </c>
      <c r="C252" s="112" t="str">
        <f t="shared" ca="1" si="124"/>
        <v>NM</v>
      </c>
      <c r="D252" s="128">
        <f t="shared" ca="1" si="125"/>
        <v>0</v>
      </c>
      <c r="E252" s="114">
        <f t="shared" si="126"/>
        <v>0</v>
      </c>
      <c r="F252" s="117">
        <f t="shared" si="127"/>
        <v>0</v>
      </c>
      <c r="G252" s="117">
        <f t="shared" si="123"/>
        <v>0</v>
      </c>
      <c r="H252" s="117">
        <f t="shared" si="123"/>
        <v>0</v>
      </c>
      <c r="I252" s="117">
        <f t="shared" si="123"/>
        <v>0</v>
      </c>
      <c r="J252" s="123">
        <f ca="1">J$195+I233+J193</f>
        <v>0</v>
      </c>
    </row>
    <row r="253" spans="2:10" x14ac:dyDescent="0.25">
      <c r="B253" s="97">
        <f>$J$218</f>
        <v>8</v>
      </c>
      <c r="C253" s="112" t="str">
        <f t="shared" ca="1" si="124"/>
        <v>NM</v>
      </c>
      <c r="D253" s="128">
        <f t="shared" ca="1" si="125"/>
        <v>0</v>
      </c>
      <c r="E253" s="114">
        <f t="shared" si="126"/>
        <v>0</v>
      </c>
      <c r="F253" s="117">
        <f t="shared" si="127"/>
        <v>0</v>
      </c>
      <c r="G253" s="117">
        <f t="shared" si="123"/>
        <v>0</v>
      </c>
      <c r="H253" s="117">
        <f t="shared" si="123"/>
        <v>0</v>
      </c>
      <c r="I253" s="117">
        <f t="shared" si="123"/>
        <v>0</v>
      </c>
      <c r="J253" s="123">
        <f ca="1">J$195+J232+J193</f>
        <v>0</v>
      </c>
    </row>
    <row r="254" spans="2:10" x14ac:dyDescent="0.25">
      <c r="B254" s="73" t="s">
        <v>193</v>
      </c>
      <c r="C254" s="113"/>
      <c r="D254" s="128"/>
      <c r="E254" s="114"/>
      <c r="F254" s="114"/>
      <c r="G254" s="114"/>
      <c r="H254" s="114"/>
      <c r="I254" s="114"/>
      <c r="J254" s="116"/>
    </row>
    <row r="255" spans="2:10" x14ac:dyDescent="0.25">
      <c r="B255" s="97">
        <f>$F$218</f>
        <v>6</v>
      </c>
      <c r="C255" s="112">
        <f ca="1">IFERROR(SUM(F255:J255)/-E255,"NM")</f>
        <v>1.4047945961657731</v>
      </c>
      <c r="D255" s="128">
        <f ca="1">IFERROR(IRR(E255:J255),0)</f>
        <v>7.034199557649079E-2</v>
      </c>
      <c r="E255" s="114">
        <f>-($D$33)</f>
        <v>-11749.199999999999</v>
      </c>
      <c r="F255" s="118">
        <v>0</v>
      </c>
      <c r="G255" s="118">
        <v>0</v>
      </c>
      <c r="H255" s="118">
        <v>0</v>
      </c>
      <c r="I255" s="118">
        <v>0</v>
      </c>
      <c r="J255" s="124">
        <f ca="1">F231</f>
        <v>16505.212669270899</v>
      </c>
    </row>
    <row r="256" spans="2:10" x14ac:dyDescent="0.25">
      <c r="B256" s="97">
        <f>$G$218</f>
        <v>6.5</v>
      </c>
      <c r="C256" s="112">
        <f t="shared" ref="C256:C259" ca="1" si="128">IFERROR(SUM(F256:J256)/-E256,"NM")</f>
        <v>1.5132881793379998</v>
      </c>
      <c r="D256" s="128">
        <f t="shared" ref="D256:D259" ca="1" si="129">IFERROR(IRR(E256:J256),0)</f>
        <v>8.6386419299652628E-2</v>
      </c>
      <c r="E256" s="114">
        <f t="shared" ref="E256:E259" si="130">-($D$33)</f>
        <v>-11749.199999999999</v>
      </c>
      <c r="F256" s="114">
        <f>F255</f>
        <v>0</v>
      </c>
      <c r="G256" s="114">
        <f t="shared" ref="G256:I257" si="131">G255</f>
        <v>0</v>
      </c>
      <c r="H256" s="114">
        <f t="shared" si="131"/>
        <v>0</v>
      </c>
      <c r="I256" s="114">
        <f t="shared" si="131"/>
        <v>0</v>
      </c>
      <c r="J256" s="121">
        <f ca="1">G231</f>
        <v>17779.925476678025</v>
      </c>
    </row>
    <row r="257" spans="1:10" x14ac:dyDescent="0.25">
      <c r="B257" s="97">
        <f>$H$218</f>
        <v>7</v>
      </c>
      <c r="C257" s="112">
        <f t="shared" ca="1" si="128"/>
        <v>1.6217817625102262</v>
      </c>
      <c r="D257" s="128">
        <f t="shared" ca="1" si="129"/>
        <v>0.10153546048755269</v>
      </c>
      <c r="E257" s="114">
        <f t="shared" si="130"/>
        <v>-11749.199999999999</v>
      </c>
      <c r="F257" s="114">
        <f t="shared" ref="F257" si="132">F256</f>
        <v>0</v>
      </c>
      <c r="G257" s="114">
        <f t="shared" si="131"/>
        <v>0</v>
      </c>
      <c r="H257" s="114">
        <f t="shared" si="131"/>
        <v>0</v>
      </c>
      <c r="I257" s="114">
        <f t="shared" si="131"/>
        <v>0</v>
      </c>
      <c r="J257" s="121">
        <f ca="1">H231</f>
        <v>19054.638284085147</v>
      </c>
    </row>
    <row r="258" spans="1:10" x14ac:dyDescent="0.25">
      <c r="B258" s="97">
        <f>$I$218</f>
        <v>7.5</v>
      </c>
      <c r="C258" s="112">
        <f t="shared" ca="1" si="128"/>
        <v>1.7302753456824529</v>
      </c>
      <c r="D258" s="128">
        <f t="shared" ca="1" si="129"/>
        <v>0.11589426075136622</v>
      </c>
      <c r="E258" s="114">
        <f t="shared" si="130"/>
        <v>-11749.199999999999</v>
      </c>
      <c r="F258" s="114">
        <f t="shared" ref="F258:F259" si="133">F257</f>
        <v>0</v>
      </c>
      <c r="G258" s="114">
        <f t="shared" ref="G258:G259" si="134">G257</f>
        <v>0</v>
      </c>
      <c r="H258" s="114">
        <f t="shared" ref="H258:H259" si="135">H257</f>
        <v>0</v>
      </c>
      <c r="I258" s="114">
        <f t="shared" ref="I258:I259" si="136">I257</f>
        <v>0</v>
      </c>
      <c r="J258" s="121">
        <f ca="1">I231</f>
        <v>20329.351091492274</v>
      </c>
    </row>
    <row r="259" spans="1:10" x14ac:dyDescent="0.25">
      <c r="B259" s="97">
        <f>$J$218</f>
        <v>8</v>
      </c>
      <c r="C259" s="112">
        <f t="shared" ca="1" si="128"/>
        <v>1.8387689288546796</v>
      </c>
      <c r="D259" s="128">
        <f t="shared" ca="1" si="129"/>
        <v>0.12954992560548129</v>
      </c>
      <c r="E259" s="114">
        <f t="shared" si="130"/>
        <v>-11749.199999999999</v>
      </c>
      <c r="F259" s="114">
        <f t="shared" si="133"/>
        <v>0</v>
      </c>
      <c r="G259" s="114">
        <f t="shared" si="134"/>
        <v>0</v>
      </c>
      <c r="H259" s="114">
        <f t="shared" si="135"/>
        <v>0</v>
      </c>
      <c r="I259" s="114">
        <f t="shared" si="136"/>
        <v>0</v>
      </c>
      <c r="J259" s="121">
        <f ca="1">J231</f>
        <v>21604.0638988994</v>
      </c>
    </row>
    <row r="260" spans="1:10" x14ac:dyDescent="0.25">
      <c r="B260" s="73" t="s">
        <v>194</v>
      </c>
      <c r="C260" s="99"/>
      <c r="D260" s="129"/>
      <c r="E260" s="114"/>
      <c r="F260" s="119"/>
      <c r="G260" s="119"/>
      <c r="H260" s="119"/>
      <c r="I260" s="119"/>
      <c r="J260" s="120"/>
    </row>
    <row r="261" spans="1:10" x14ac:dyDescent="0.25">
      <c r="B261" s="97">
        <f>$F$218</f>
        <v>6</v>
      </c>
      <c r="C261" s="112">
        <f ca="1">IFERROR(SUM(F261:J261)/-E261,"NM")</f>
        <v>1.4047945961657733</v>
      </c>
      <c r="D261" s="128">
        <f ca="1">IFERROR(IRR(E261:J261),0)</f>
        <v>7.0341995576491012E-2</v>
      </c>
      <c r="E261" s="114">
        <f>-($D$34)</f>
        <v>-19603.595677837999</v>
      </c>
      <c r="F261" s="118">
        <v>0</v>
      </c>
      <c r="G261" s="118">
        <v>0</v>
      </c>
      <c r="H261" s="118">
        <v>0</v>
      </c>
      <c r="I261" s="118">
        <v>0</v>
      </c>
      <c r="J261" s="123">
        <f ca="1">F230</f>
        <v>27539.02527364553</v>
      </c>
    </row>
    <row r="262" spans="1:10" x14ac:dyDescent="0.25">
      <c r="B262" s="97">
        <f>$G$218</f>
        <v>6.5</v>
      </c>
      <c r="C262" s="112">
        <f t="shared" ref="C262:C265" ca="1" si="137">IFERROR(SUM(F262:J262)/-E262,"NM")</f>
        <v>1.513288179338</v>
      </c>
      <c r="D262" s="128">
        <f t="shared" ref="D262:D265" ca="1" si="138">IFERROR(IRR(E262:J262),0)</f>
        <v>8.6386419299652406E-2</v>
      </c>
      <c r="E262" s="114">
        <f t="shared" ref="E262:E265" si="139">-($D$34)</f>
        <v>-19603.595677837999</v>
      </c>
      <c r="F262" s="114">
        <f>F261</f>
        <v>0</v>
      </c>
      <c r="G262" s="114">
        <f t="shared" ref="G262:I262" si="140">G261</f>
        <v>0</v>
      </c>
      <c r="H262" s="114">
        <f t="shared" si="140"/>
        <v>0</v>
      </c>
      <c r="I262" s="114">
        <f t="shared" si="140"/>
        <v>0</v>
      </c>
      <c r="J262" s="123">
        <f ca="1">G230</f>
        <v>29665.889611793751</v>
      </c>
    </row>
    <row r="263" spans="1:10" x14ac:dyDescent="0.25">
      <c r="B263" s="97">
        <f>$H$218</f>
        <v>7</v>
      </c>
      <c r="C263" s="112">
        <f t="shared" ca="1" si="137"/>
        <v>1.6217817625102267</v>
      </c>
      <c r="D263" s="128">
        <f t="shared" ca="1" si="138"/>
        <v>0.10153546048755269</v>
      </c>
      <c r="E263" s="114">
        <f t="shared" si="139"/>
        <v>-19603.595677837999</v>
      </c>
      <c r="F263" s="114">
        <f t="shared" ref="F263:F265" si="141">F262</f>
        <v>0</v>
      </c>
      <c r="G263" s="114">
        <f t="shared" ref="G263:G265" si="142">G262</f>
        <v>0</v>
      </c>
      <c r="H263" s="114">
        <f t="shared" ref="H263:H265" si="143">H262</f>
        <v>0</v>
      </c>
      <c r="I263" s="114">
        <f t="shared" ref="I263:I265" si="144">I262</f>
        <v>0</v>
      </c>
      <c r="J263" s="123">
        <f ca="1">H230</f>
        <v>31792.753949941969</v>
      </c>
    </row>
    <row r="264" spans="1:10" x14ac:dyDescent="0.25">
      <c r="B264" s="97">
        <f>$I$218</f>
        <v>7.5</v>
      </c>
      <c r="C264" s="112">
        <f t="shared" ca="1" si="137"/>
        <v>1.7302753456824529</v>
      </c>
      <c r="D264" s="128">
        <f t="shared" ca="1" si="138"/>
        <v>0.11589426075136622</v>
      </c>
      <c r="E264" s="114">
        <f t="shared" si="139"/>
        <v>-19603.595677837999</v>
      </c>
      <c r="F264" s="114">
        <f t="shared" si="141"/>
        <v>0</v>
      </c>
      <c r="G264" s="114">
        <f t="shared" si="142"/>
        <v>0</v>
      </c>
      <c r="H264" s="114">
        <f t="shared" si="143"/>
        <v>0</v>
      </c>
      <c r="I264" s="114">
        <f t="shared" si="144"/>
        <v>0</v>
      </c>
      <c r="J264" s="123">
        <f ca="1">I230</f>
        <v>33919.618288090183</v>
      </c>
    </row>
    <row r="265" spans="1:10" x14ac:dyDescent="0.25">
      <c r="B265" s="97">
        <f>$J$218</f>
        <v>8</v>
      </c>
      <c r="C265" s="112">
        <f t="shared" ca="1" si="137"/>
        <v>1.8387689288546798</v>
      </c>
      <c r="D265" s="128">
        <f t="shared" ca="1" si="138"/>
        <v>0.12954992560548151</v>
      </c>
      <c r="E265" s="114">
        <f t="shared" si="139"/>
        <v>-19603.595677837999</v>
      </c>
      <c r="F265" s="114">
        <f t="shared" si="141"/>
        <v>0</v>
      </c>
      <c r="G265" s="114">
        <f t="shared" si="142"/>
        <v>0</v>
      </c>
      <c r="H265" s="114">
        <f t="shared" si="143"/>
        <v>0</v>
      </c>
      <c r="I265" s="114">
        <f t="shared" si="144"/>
        <v>0</v>
      </c>
      <c r="J265" s="123">
        <f ca="1">J230</f>
        <v>36046.482626238409</v>
      </c>
    </row>
    <row r="266" spans="1:10" ht="5.25" customHeight="1" x14ac:dyDescent="0.25"/>
    <row r="267" spans="1:10" ht="21" x14ac:dyDescent="0.35">
      <c r="A267" s="91"/>
      <c r="B267" s="92" t="s">
        <v>211</v>
      </c>
      <c r="C267" s="91"/>
      <c r="D267" s="91"/>
      <c r="E267" s="91"/>
      <c r="F267" s="91"/>
      <c r="G267" s="91"/>
      <c r="H267" s="91"/>
      <c r="I267" s="91"/>
      <c r="J267" s="91"/>
    </row>
    <row r="268" spans="1:10" ht="5.25" customHeight="1" x14ac:dyDescent="0.25"/>
    <row r="269" spans="1:10" x14ac:dyDescent="0.25">
      <c r="F269" s="98" t="s">
        <v>195</v>
      </c>
      <c r="G269" s="98" t="s">
        <v>196</v>
      </c>
      <c r="H269" s="98" t="s">
        <v>197</v>
      </c>
      <c r="I269" s="98" t="s">
        <v>199</v>
      </c>
      <c r="J269" s="98" t="s">
        <v>198</v>
      </c>
    </row>
    <row r="270" spans="1:10" x14ac:dyDescent="0.25">
      <c r="B270" s="1" t="s">
        <v>38</v>
      </c>
      <c r="F270" s="27">
        <f>D27</f>
        <v>0</v>
      </c>
      <c r="G270" s="35">
        <f>F270/SUM($F$270:$F$277)</f>
        <v>0</v>
      </c>
      <c r="H270" s="35"/>
      <c r="I270" s="127" t="str">
        <f ca="1">C238</f>
        <v>NM</v>
      </c>
      <c r="J270" s="35">
        <f ca="1">D238</f>
        <v>0</v>
      </c>
    </row>
    <row r="271" spans="1:10" x14ac:dyDescent="0.25">
      <c r="B271" s="1" t="s">
        <v>140</v>
      </c>
      <c r="F271" s="27">
        <f t="shared" ref="F271:F277" si="145">D28</f>
        <v>29373</v>
      </c>
      <c r="G271" s="35">
        <f t="shared" ref="G271:G277" si="146">F271/SUM($F$270:$F$277)</f>
        <v>0.43245077980224472</v>
      </c>
      <c r="H271" s="35"/>
      <c r="I271" s="127">
        <f ca="1">C239</f>
        <v>1.1458817843563074</v>
      </c>
      <c r="J271" s="35">
        <f t="shared" ref="J271:J273" ca="1" si="147">D239</f>
        <v>4.3537085974261203E-2</v>
      </c>
    </row>
    <row r="272" spans="1:10" x14ac:dyDescent="0.25">
      <c r="B272" s="1" t="s">
        <v>148</v>
      </c>
      <c r="F272" s="27">
        <f t="shared" si="145"/>
        <v>4161.1750000000002</v>
      </c>
      <c r="G272" s="35">
        <f t="shared" si="146"/>
        <v>6.126386047198467E-2</v>
      </c>
      <c r="H272" s="35"/>
      <c r="I272" s="127">
        <f ca="1">C240</f>
        <v>1.0610281361883274</v>
      </c>
      <c r="J272" s="35">
        <f t="shared" ca="1" si="147"/>
        <v>3.2164639456798039E-2</v>
      </c>
    </row>
    <row r="273" spans="1:10" x14ac:dyDescent="0.25">
      <c r="B273" s="1" t="s">
        <v>152</v>
      </c>
      <c r="F273" s="27">
        <f t="shared" si="145"/>
        <v>3035.21</v>
      </c>
      <c r="G273" s="35">
        <f t="shared" si="146"/>
        <v>4.4686580579565288E-2</v>
      </c>
      <c r="H273" s="35"/>
      <c r="I273" s="127">
        <f>C241</f>
        <v>1.40625</v>
      </c>
      <c r="J273" s="35">
        <f t="shared" si="147"/>
        <v>8.1249999999138733E-2</v>
      </c>
    </row>
    <row r="274" spans="1:10" x14ac:dyDescent="0.25">
      <c r="B274" s="1" t="s">
        <v>155</v>
      </c>
      <c r="F274" s="27">
        <f t="shared" si="145"/>
        <v>0</v>
      </c>
      <c r="G274" s="35">
        <f t="shared" si="146"/>
        <v>0</v>
      </c>
      <c r="H274" s="35">
        <f>E233</f>
        <v>0</v>
      </c>
      <c r="I274" s="127" t="str">
        <f ca="1">C245</f>
        <v>NM</v>
      </c>
      <c r="J274" s="35">
        <f ca="1">D245</f>
        <v>0</v>
      </c>
    </row>
    <row r="275" spans="1:10" x14ac:dyDescent="0.25">
      <c r="B275" s="1" t="s">
        <v>161</v>
      </c>
      <c r="F275" s="27">
        <f t="shared" si="145"/>
        <v>0</v>
      </c>
      <c r="G275" s="35">
        <f t="shared" si="146"/>
        <v>0</v>
      </c>
      <c r="H275" s="35">
        <f>E232</f>
        <v>0</v>
      </c>
      <c r="I275" s="127" t="str">
        <f ca="1">C251</f>
        <v>NM</v>
      </c>
      <c r="J275" s="35">
        <f ca="1">D251</f>
        <v>0</v>
      </c>
    </row>
    <row r="276" spans="1:10" x14ac:dyDescent="0.25">
      <c r="B276" s="1" t="s">
        <v>200</v>
      </c>
      <c r="F276" s="27">
        <f t="shared" si="145"/>
        <v>11749.199999999999</v>
      </c>
      <c r="G276" s="35">
        <f t="shared" si="146"/>
        <v>0.17298031192089786</v>
      </c>
      <c r="H276" s="35">
        <f>E231</f>
        <v>0.37474170152886954</v>
      </c>
      <c r="I276" s="127">
        <f ca="1">C257</f>
        <v>1.6217817625102262</v>
      </c>
      <c r="J276" s="35">
        <f ca="1">D257</f>
        <v>0.10153546048755269</v>
      </c>
    </row>
    <row r="277" spans="1:10" x14ac:dyDescent="0.25">
      <c r="B277" s="1" t="s">
        <v>201</v>
      </c>
      <c r="F277" s="27">
        <f t="shared" si="145"/>
        <v>19603.595677837999</v>
      </c>
      <c r="G277" s="35">
        <f t="shared" si="146"/>
        <v>0.28861846722530748</v>
      </c>
      <c r="H277" s="35">
        <f>E230</f>
        <v>0.62525829847113046</v>
      </c>
      <c r="I277" s="127">
        <f ca="1">C263</f>
        <v>1.6217817625102267</v>
      </c>
      <c r="J277" s="35">
        <f ca="1">D263</f>
        <v>0.10153546048755269</v>
      </c>
    </row>
    <row r="278" spans="1:10" x14ac:dyDescent="0.25">
      <c r="B278" s="13" t="s">
        <v>202</v>
      </c>
      <c r="C278" s="13"/>
      <c r="D278" s="13"/>
      <c r="E278" s="13"/>
      <c r="F278" s="52">
        <f>SUM(F270:F277)</f>
        <v>67922.180677837998</v>
      </c>
      <c r="G278" s="126">
        <f>SUM(G270:G277)</f>
        <v>1</v>
      </c>
      <c r="H278" s="126">
        <f>SUM(H274:H277)</f>
        <v>1</v>
      </c>
    </row>
    <row r="279" spans="1:10" ht="5.25" customHeight="1" x14ac:dyDescent="0.25"/>
    <row r="280" spans="1:10" ht="21" x14ac:dyDescent="0.35">
      <c r="A280" s="91"/>
      <c r="B280" s="92" t="s">
        <v>203</v>
      </c>
      <c r="C280" s="91"/>
      <c r="D280" s="91"/>
      <c r="E280" s="91"/>
      <c r="F280" s="91"/>
      <c r="G280" s="91"/>
      <c r="H280" s="91"/>
      <c r="I280" s="91"/>
      <c r="J280" s="91"/>
    </row>
    <row r="281" spans="1:10" ht="5.25" customHeight="1" x14ac:dyDescent="0.25"/>
    <row r="282" spans="1:10" x14ac:dyDescent="0.25">
      <c r="C282" s="100" t="s">
        <v>204</v>
      </c>
      <c r="E282" s="158" t="s">
        <v>209</v>
      </c>
      <c r="F282" s="159"/>
      <c r="G282" s="159"/>
      <c r="H282" s="159"/>
      <c r="I282" s="159"/>
      <c r="J282" s="160"/>
    </row>
    <row r="283" spans="1:10" x14ac:dyDescent="0.25">
      <c r="B283" s="1" t="s">
        <v>205</v>
      </c>
      <c r="C283" s="130">
        <f ca="1">J277</f>
        <v>0.10153546048755269</v>
      </c>
      <c r="E283" s="151">
        <v>0.15</v>
      </c>
      <c r="F283" s="152">
        <f>E283+5%</f>
        <v>0.2</v>
      </c>
      <c r="G283" s="152">
        <f t="shared" ref="G283:J283" si="148">F283+5%</f>
        <v>0.25</v>
      </c>
      <c r="H283" s="152">
        <f t="shared" si="148"/>
        <v>0.3</v>
      </c>
      <c r="I283" s="152">
        <f t="shared" si="148"/>
        <v>0.35</v>
      </c>
      <c r="J283" s="152">
        <f t="shared" si="148"/>
        <v>0.39999999999999997</v>
      </c>
    </row>
    <row r="284" spans="1:10" x14ac:dyDescent="0.25">
      <c r="B284" s="1" t="s">
        <v>27</v>
      </c>
      <c r="C284" s="30">
        <f>H15</f>
        <v>61737.749707229552</v>
      </c>
      <c r="E284" s="137">
        <f ca="1">-PV(E283,5,0,$H$229)+SUM($D$26:$D$33)-$D$20-$D$21</f>
        <v>67414.294498736781</v>
      </c>
      <c r="F284" s="136">
        <f t="shared" ref="F284:J284" ca="1" si="149">-PV(F283,5,0,$H$229)+SUM($D$26:$D$33)-$D$20-$D$21</f>
        <v>62568.580563771029</v>
      </c>
      <c r="G284" s="136">
        <f t="shared" ca="1" si="149"/>
        <v>58795.827516637553</v>
      </c>
      <c r="H284" s="136">
        <f t="shared" ca="1" si="149"/>
        <v>55828.835112532659</v>
      </c>
      <c r="I284" s="136">
        <f t="shared" ca="1" si="149"/>
        <v>53473.809039273954</v>
      </c>
      <c r="J284" s="138">
        <f t="shared" ca="1" si="149"/>
        <v>51588.435027269516</v>
      </c>
    </row>
    <row r="285" spans="1:10" x14ac:dyDescent="0.25">
      <c r="B285" s="1" t="s">
        <v>28</v>
      </c>
      <c r="C285" s="30">
        <f>H16</f>
        <v>2344.5323470000003</v>
      </c>
      <c r="E285" s="102">
        <f>$C$285</f>
        <v>2344.5323470000003</v>
      </c>
      <c r="F285" s="142">
        <f t="shared" ref="F285:J285" si="150">$C$285</f>
        <v>2344.5323470000003</v>
      </c>
      <c r="G285" s="142">
        <f t="shared" si="150"/>
        <v>2344.5323470000003</v>
      </c>
      <c r="H285" s="142">
        <f t="shared" si="150"/>
        <v>2344.5323470000003</v>
      </c>
      <c r="I285" s="142">
        <f t="shared" si="150"/>
        <v>2344.5323470000003</v>
      </c>
      <c r="J285" s="143">
        <f t="shared" si="150"/>
        <v>2344.5323470000003</v>
      </c>
    </row>
    <row r="286" spans="1:10" x14ac:dyDescent="0.25">
      <c r="B286" s="1" t="s">
        <v>206</v>
      </c>
      <c r="C286" s="132">
        <f>H18</f>
        <v>26.332649999999997</v>
      </c>
      <c r="E286" s="144">
        <f ca="1">E284/E285</f>
        <v>28.753834249716483</v>
      </c>
      <c r="F286" s="145">
        <f t="shared" ref="F286:J286" ca="1" si="151">F284/F285</f>
        <v>26.68701954307949</v>
      </c>
      <c r="G286" s="145">
        <f t="shared" ca="1" si="151"/>
        <v>25.077848719754748</v>
      </c>
      <c r="H286" s="145">
        <f t="shared" ca="1" si="151"/>
        <v>23.812354384433942</v>
      </c>
      <c r="I286" s="145">
        <f t="shared" ca="1" si="151"/>
        <v>22.807878555268211</v>
      </c>
      <c r="J286" s="146">
        <f t="shared" ca="1" si="151"/>
        <v>22.003720739140441</v>
      </c>
    </row>
    <row r="287" spans="1:10" x14ac:dyDescent="0.25">
      <c r="B287" s="33" t="s">
        <v>207</v>
      </c>
      <c r="C287" s="133">
        <f>H19</f>
        <v>7.6999999999999957E-2</v>
      </c>
      <c r="E287" s="147">
        <f ca="1">E286/$D$7-1</f>
        <v>0.17602594068370081</v>
      </c>
      <c r="F287" s="148">
        <f t="shared" ref="F287:J287" ca="1" si="152">F286/$D$7-1</f>
        <v>9.149364184374198E-2</v>
      </c>
      <c r="G287" s="148">
        <f t="shared" ca="1" si="152"/>
        <v>2.5678884243548028E-2</v>
      </c>
      <c r="H287" s="148">
        <f t="shared" ca="1" si="152"/>
        <v>-2.6079575278775358E-2</v>
      </c>
      <c r="I287" s="148">
        <f t="shared" ca="1" si="152"/>
        <v>-6.7162431277373758E-2</v>
      </c>
      <c r="J287" s="149">
        <f t="shared" ca="1" si="152"/>
        <v>-0.10005232150754839</v>
      </c>
    </row>
    <row r="288" spans="1:10" x14ac:dyDescent="0.25">
      <c r="C288" s="26"/>
      <c r="E288" s="94"/>
      <c r="F288" s="95"/>
      <c r="G288" s="95"/>
      <c r="H288" s="95"/>
      <c r="I288" s="95"/>
      <c r="J288" s="96"/>
    </row>
    <row r="289" spans="2:10" x14ac:dyDescent="0.25">
      <c r="B289" s="56" t="s">
        <v>24</v>
      </c>
      <c r="C289" s="134">
        <f>C284-$D$13-$D$14</f>
        <v>61462.749707229552</v>
      </c>
      <c r="E289" s="137">
        <f ca="1">E284-$D$13-$D$14</f>
        <v>67139.294498736781</v>
      </c>
      <c r="F289" s="136">
        <f t="shared" ref="F289:J289" ca="1" si="153">F284-$D$13-$D$14</f>
        <v>62293.580563771029</v>
      </c>
      <c r="G289" s="136">
        <f t="shared" ca="1" si="153"/>
        <v>58520.827516637553</v>
      </c>
      <c r="H289" s="136">
        <f t="shared" ca="1" si="153"/>
        <v>55553.835112532659</v>
      </c>
      <c r="I289" s="136">
        <f t="shared" ca="1" si="153"/>
        <v>53198.809039273954</v>
      </c>
      <c r="J289" s="138">
        <f t="shared" ca="1" si="153"/>
        <v>51313.435027269516</v>
      </c>
    </row>
    <row r="290" spans="2:10" x14ac:dyDescent="0.25">
      <c r="B290" s="33" t="s">
        <v>208</v>
      </c>
      <c r="C290" s="135">
        <f>C289/$D$12</f>
        <v>6.2774741811081149</v>
      </c>
      <c r="E290" s="139">
        <f ca="1">E289/$D$12</f>
        <v>6.8572458889527912</v>
      </c>
      <c r="F290" s="140">
        <f t="shared" ref="F290:J290" ca="1" si="154">F289/$D$12</f>
        <v>6.3623307694587918</v>
      </c>
      <c r="G290" s="140">
        <f t="shared" ca="1" si="154"/>
        <v>5.977002095458845</v>
      </c>
      <c r="H290" s="140">
        <f t="shared" ca="1" si="154"/>
        <v>5.6739694732440666</v>
      </c>
      <c r="I290" s="140">
        <f t="shared" ca="1" si="154"/>
        <v>5.4334397956566187</v>
      </c>
      <c r="J290" s="141">
        <f t="shared" ca="1" si="154"/>
        <v>5.2408778497875108</v>
      </c>
    </row>
    <row r="291" spans="2:10" ht="4.5" customHeight="1" x14ac:dyDescent="0.25"/>
  </sheetData>
  <sheetProtection algorithmName="SHA-512" hashValue="qwcZEPgYIrzJNPCo97gKXVK0calIMXGE+AU0EyeuE1m+9b/2uQ4K+ZSpyzCldwngmnI6W2b46JDyuJABBDCADA==" saltValue="/g7LmbIYz0IEjxjLIQI2eQ==" spinCount="100000" sheet="1" objects="1" scenarios="1"/>
  <mergeCells count="14">
    <mergeCell ref="E282:J282"/>
    <mergeCell ref="C133:E133"/>
    <mergeCell ref="F133:J133"/>
    <mergeCell ref="C202:E202"/>
    <mergeCell ref="F202:J202"/>
    <mergeCell ref="F216:J216"/>
    <mergeCell ref="C107:E107"/>
    <mergeCell ref="F107:J107"/>
    <mergeCell ref="C37:E37"/>
    <mergeCell ref="F37:J37"/>
    <mergeCell ref="C74:E74"/>
    <mergeCell ref="F74:J74"/>
    <mergeCell ref="C90:E90"/>
    <mergeCell ref="F90:J90"/>
  </mergeCells>
  <dataValidations disablePrompts="1" count="2">
    <dataValidation type="list" allowBlank="1" showInputMessage="1" showErrorMessage="1" sqref="D9" xr:uid="{B817798B-CBC6-410F-9B28-AF11E12CF99C}">
      <formula1>"ON, OFF"</formula1>
    </dataValidation>
    <dataValidation type="list" allowBlank="1" showInputMessage="1" showErrorMessage="1" sqref="H5" xr:uid="{B63E2131-15F5-45BA-BE72-2F2EE965FAF5}">
      <formula1>$I$5:$J$5</formula1>
    </dataValidation>
  </dataValidations>
  <pageMargins left="0.7" right="0.7" top="0.75" bottom="0.75" header="0.3" footer="0.3"/>
  <pageSetup orientation="portrait" r:id="rId1"/>
  <ignoredErrors>
    <ignoredError sqref="F112:J112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NWS LBO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</cp:lastModifiedBy>
  <dcterms:created xsi:type="dcterms:W3CDTF">2020-04-07T17:05:10Z</dcterms:created>
  <dcterms:modified xsi:type="dcterms:W3CDTF">2020-04-20T13:46:11Z</dcterms:modified>
</cp:coreProperties>
</file>